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MVP\MVP 2026\"/>
    </mc:Choice>
  </mc:AlternateContent>
  <xr:revisionPtr revIDLastSave="0" documentId="13_ncr:1_{A6DF30BC-73D1-4183-812F-9D9A4BF1B168}" xr6:coauthVersionLast="47" xr6:coauthVersionMax="47" xr10:uidLastSave="{00000000-0000-0000-0000-000000000000}"/>
  <bookViews>
    <workbookView xWindow="-28920" yWindow="-2460" windowWidth="29040" windowHeight="15720" xr2:uid="{B1FE42B9-94AD-44E8-8352-2DD42A396A83}"/>
  </bookViews>
  <sheets>
    <sheet name="Det" sheetId="3" r:id="rId1"/>
    <sheet name="Skaičiuoklė" sheetId="23" state="hidden" r:id="rId2"/>
    <sheet name="Vykd " sheetId="1" r:id="rId3"/>
  </sheets>
  <definedNames>
    <definedName name="_xlnm._FilterDatabase" localSheetId="0" hidden="1">Det!$A$3:$M$1277</definedName>
    <definedName name="_Hlk213834883">#REF!</definedName>
    <definedName name="OLE_LINK1">#REF!</definedName>
    <definedName name="_xlnm.Print_Area" localSheetId="0">Det!$A$1:$M$158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3" i="3" l="1"/>
  <c r="H1057" i="3"/>
  <c r="H561" i="3"/>
  <c r="H1223" i="3" l="1"/>
  <c r="H1261" i="3"/>
  <c r="H1054" i="3"/>
  <c r="H998" i="3"/>
  <c r="H995" i="3"/>
  <c r="H963" i="3"/>
  <c r="H958" i="3"/>
  <c r="H947" i="3"/>
  <c r="H912" i="3"/>
  <c r="H615" i="3"/>
  <c r="H613" i="3"/>
  <c r="H558" i="3" l="1"/>
  <c r="H556" i="3"/>
  <c r="H555" i="3"/>
  <c r="H553" i="3"/>
  <c r="H552" i="3"/>
  <c r="H279" i="3" l="1"/>
  <c r="H80" i="3"/>
  <c r="H154" i="3"/>
  <c r="H153" i="3"/>
  <c r="H146" i="3"/>
  <c r="H143" i="3"/>
  <c r="H260" i="3" l="1"/>
  <c r="H263" i="3"/>
  <c r="H1275" i="3"/>
  <c r="H1272" i="3"/>
  <c r="H1268" i="3"/>
  <c r="H1267" i="3"/>
  <c r="H1266" i="3"/>
  <c r="H1264" i="3"/>
  <c r="H1263" i="3"/>
  <c r="H1262" i="3"/>
  <c r="H1254" i="3"/>
  <c r="H1250" i="3"/>
  <c r="H1217" i="3" s="1"/>
  <c r="H1248" i="3"/>
  <c r="H1246" i="3"/>
  <c r="H1243" i="3"/>
  <c r="H1239" i="3"/>
  <c r="H1235" i="3"/>
  <c r="H1259" i="3" s="1"/>
  <c r="H1232" i="3"/>
  <c r="H1230" i="3"/>
  <c r="H1229" i="3"/>
  <c r="H1227" i="3"/>
  <c r="H1219" i="3"/>
  <c r="H1216" i="3"/>
  <c r="H1215" i="3"/>
  <c r="H1214" i="3"/>
  <c r="H1213" i="3"/>
  <c r="H1210" i="3"/>
  <c r="H1208" i="3"/>
  <c r="H1204" i="3"/>
  <c r="H1202" i="3"/>
  <c r="H1200" i="3"/>
  <c r="H1196" i="3"/>
  <c r="H1198" i="3" s="1"/>
  <c r="H1195" i="3"/>
  <c r="H1193" i="3"/>
  <c r="H1191" i="3"/>
  <c r="H1188" i="3"/>
  <c r="H1185" i="3"/>
  <c r="H1183" i="3"/>
  <c r="H1182" i="3"/>
  <c r="H1181" i="3"/>
  <c r="H1180" i="3"/>
  <c r="H1177" i="3"/>
  <c r="H1175" i="3"/>
  <c r="H1172" i="3"/>
  <c r="H1173" i="3" s="1"/>
  <c r="H1171" i="3"/>
  <c r="H1168" i="3"/>
  <c r="H1165" i="3"/>
  <c r="H1162" i="3"/>
  <c r="H1159" i="3"/>
  <c r="H1156" i="3"/>
  <c r="H1151" i="3"/>
  <c r="H1150" i="3"/>
  <c r="H1149" i="3"/>
  <c r="H1051" i="3" s="1"/>
  <c r="H1130" i="3"/>
  <c r="H1127" i="3"/>
  <c r="H1120" i="3"/>
  <c r="H1100" i="3"/>
  <c r="H1095" i="3"/>
  <c r="H1091" i="3"/>
  <c r="H1088" i="3"/>
  <c r="H1084" i="3"/>
  <c r="H1080" i="3"/>
  <c r="H1075" i="3"/>
  <c r="H1071" i="3"/>
  <c r="H1067" i="3"/>
  <c r="H1063" i="3"/>
  <c r="H1062" i="3"/>
  <c r="H1061" i="3"/>
  <c r="H1271" i="3" s="1"/>
  <c r="H1060" i="3"/>
  <c r="H1273" i="3"/>
  <c r="H1056" i="3"/>
  <c r="H1055" i="3"/>
  <c r="H1258" i="3"/>
  <c r="H1033" i="3"/>
  <c r="H1022" i="3"/>
  <c r="H1032" i="3" s="1"/>
  <c r="H1016" i="3"/>
  <c r="H1008" i="3"/>
  <c r="H1007" i="3"/>
  <c r="H1000" i="3"/>
  <c r="H989" i="3"/>
  <c r="H999" i="3" s="1"/>
  <c r="H987" i="3"/>
  <c r="H1002" i="3" s="1"/>
  <c r="H986" i="3"/>
  <c r="H1001" i="3" s="1"/>
  <c r="H982" i="3"/>
  <c r="H984" i="3" s="1"/>
  <c r="H979" i="3"/>
  <c r="H975" i="3"/>
  <c r="H974" i="3"/>
  <c r="H971" i="3"/>
  <c r="H953" i="3"/>
  <c r="H948" i="3" s="1"/>
  <c r="H939" i="3"/>
  <c r="H940" i="3" s="1"/>
  <c r="H935" i="3"/>
  <c r="H936" i="3" s="1"/>
  <c r="H927" i="3"/>
  <c r="H934" i="3" s="1"/>
  <c r="H923" i="3"/>
  <c r="H918" i="3"/>
  <c r="H917" i="3"/>
  <c r="H915" i="3"/>
  <c r="H910" i="3"/>
  <c r="H908" i="3"/>
  <c r="H913" i="3" s="1"/>
  <c r="H904" i="3"/>
  <c r="H903" i="3"/>
  <c r="H899" i="3"/>
  <c r="H897" i="3"/>
  <c r="H892" i="3"/>
  <c r="H889" i="3"/>
  <c r="H881" i="3"/>
  <c r="H880" i="3"/>
  <c r="H875" i="3"/>
  <c r="H872" i="3"/>
  <c r="H864" i="3"/>
  <c r="H854" i="3"/>
  <c r="H852" i="3" s="1"/>
  <c r="H851" i="3"/>
  <c r="H845" i="3"/>
  <c r="H843" i="3"/>
  <c r="H842" i="3"/>
  <c r="H834" i="3"/>
  <c r="H829" i="3"/>
  <c r="H816" i="3"/>
  <c r="H815" i="3"/>
  <c r="H814" i="3"/>
  <c r="H813" i="3"/>
  <c r="H809" i="3"/>
  <c r="H807" i="3"/>
  <c r="H804" i="3"/>
  <c r="H805" i="3" s="1"/>
  <c r="H803" i="3"/>
  <c r="H799" i="3"/>
  <c r="H796" i="3"/>
  <c r="H798" i="3" s="1"/>
  <c r="H794" i="3"/>
  <c r="H793" i="3"/>
  <c r="H790" i="3"/>
  <c r="H789" i="3"/>
  <c r="H787" i="3"/>
  <c r="H785" i="3"/>
  <c r="H782" i="3"/>
  <c r="H768" i="3"/>
  <c r="H766" i="3"/>
  <c r="H762" i="3" s="1"/>
  <c r="H763" i="3" s="1"/>
  <c r="H754" i="3"/>
  <c r="H753" i="3"/>
  <c r="H749" i="3"/>
  <c r="H746" i="3" s="1"/>
  <c r="H747" i="3"/>
  <c r="H743" i="3"/>
  <c r="H741" i="3"/>
  <c r="H737" i="3"/>
  <c r="H734" i="3"/>
  <c r="H724" i="3"/>
  <c r="H721" i="3"/>
  <c r="H668" i="3" s="1"/>
  <c r="H719" i="3"/>
  <c r="H701" i="3"/>
  <c r="H680" i="3"/>
  <c r="H669" i="3"/>
  <c r="H672" i="3"/>
  <c r="H671" i="3"/>
  <c r="H670" i="3"/>
  <c r="H667" i="3"/>
  <c r="H666" i="3"/>
  <c r="H870" i="3" s="1"/>
  <c r="H658" i="3"/>
  <c r="H657" i="3"/>
  <c r="H652" i="3"/>
  <c r="H651" i="3"/>
  <c r="H642" i="3"/>
  <c r="H631" i="3"/>
  <c r="H629" i="3"/>
  <c r="H627" i="3"/>
  <c r="H625" i="3"/>
  <c r="H619" i="3"/>
  <c r="H618" i="3"/>
  <c r="H616" i="3"/>
  <c r="H609" i="3"/>
  <c r="H604" i="3"/>
  <c r="H568" i="3" s="1"/>
  <c r="H603" i="3"/>
  <c r="H600" i="3"/>
  <c r="H597" i="3"/>
  <c r="H594" i="3"/>
  <c r="H591" i="3"/>
  <c r="H588" i="3"/>
  <c r="H585" i="3"/>
  <c r="H582" i="3"/>
  <c r="H579" i="3"/>
  <c r="H576" i="3"/>
  <c r="H573" i="3"/>
  <c r="H569" i="3"/>
  <c r="H560" i="3"/>
  <c r="H559" i="3"/>
  <c r="H557" i="3"/>
  <c r="H551" i="3"/>
  <c r="H547" i="3"/>
  <c r="H554" i="3" s="1"/>
  <c r="H545" i="3"/>
  <c r="H542" i="3"/>
  <c r="H540" i="3"/>
  <c r="H538" i="3"/>
  <c r="H533" i="3"/>
  <c r="H527" i="3"/>
  <c r="H523" i="3"/>
  <c r="H520" i="3"/>
  <c r="H517" i="3"/>
  <c r="H514" i="3"/>
  <c r="H511" i="3"/>
  <c r="H508" i="3"/>
  <c r="H505" i="3"/>
  <c r="H496" i="3"/>
  <c r="H494" i="3"/>
  <c r="H491" i="3"/>
  <c r="H489" i="3"/>
  <c r="H486" i="3"/>
  <c r="H482" i="3"/>
  <c r="H480" i="3"/>
  <c r="H478" i="3"/>
  <c r="H475" i="3"/>
  <c r="H466" i="3"/>
  <c r="H467" i="3" s="1"/>
  <c r="H463" i="3"/>
  <c r="H460" i="3"/>
  <c r="H457" i="3"/>
  <c r="H454" i="3"/>
  <c r="H451" i="3"/>
  <c r="H449" i="3"/>
  <c r="H444" i="3"/>
  <c r="H440" i="3"/>
  <c r="H437" i="3"/>
  <c r="H435" i="3"/>
  <c r="H433" i="3"/>
  <c r="H418" i="3"/>
  <c r="H412" i="3"/>
  <c r="H409" i="3"/>
  <c r="H400" i="3"/>
  <c r="H425" i="3" s="1"/>
  <c r="H399" i="3"/>
  <c r="H398" i="3"/>
  <c r="H421" i="3" s="1"/>
  <c r="H397" i="3"/>
  <c r="H394" i="3"/>
  <c r="H387" i="3"/>
  <c r="H383" i="3"/>
  <c r="H380" i="3"/>
  <c r="H378" i="3"/>
  <c r="H376" i="3"/>
  <c r="H372" i="3"/>
  <c r="H368" i="3"/>
  <c r="H367" i="3"/>
  <c r="H360" i="3"/>
  <c r="H359" i="3"/>
  <c r="H358" i="3"/>
  <c r="H357" i="3"/>
  <c r="H356" i="3"/>
  <c r="H355" i="3"/>
  <c r="H354" i="3"/>
  <c r="H353" i="3"/>
  <c r="H352" i="3"/>
  <c r="H348" i="3"/>
  <c r="H349" i="3" s="1"/>
  <c r="H347" i="3"/>
  <c r="H339" i="3"/>
  <c r="H338" i="3"/>
  <c r="M334" i="3"/>
  <c r="H334" i="3"/>
  <c r="H332" i="3"/>
  <c r="H330" i="3"/>
  <c r="M328" i="3"/>
  <c r="H328" i="3"/>
  <c r="H325" i="3"/>
  <c r="H323" i="3"/>
  <c r="H321" i="3"/>
  <c r="H319" i="3"/>
  <c r="H317" i="3"/>
  <c r="M315" i="3"/>
  <c r="H315" i="3"/>
  <c r="M313" i="3"/>
  <c r="H312" i="3"/>
  <c r="H310" i="3"/>
  <c r="H307" i="3"/>
  <c r="H305" i="3"/>
  <c r="H301" i="3"/>
  <c r="H296" i="3"/>
  <c r="H294" i="3"/>
  <c r="H292" i="3"/>
  <c r="H282" i="3"/>
  <c r="H281" i="3"/>
  <c r="H275" i="3"/>
  <c r="H274" i="3"/>
  <c r="H265" i="3"/>
  <c r="H266" i="3" s="1"/>
  <c r="H264" i="3"/>
  <c r="H256" i="3"/>
  <c r="H253" i="3"/>
  <c r="H249" i="3"/>
  <c r="H248" i="3"/>
  <c r="H247" i="3"/>
  <c r="H240" i="3"/>
  <c r="H238" i="3"/>
  <c r="H234" i="3"/>
  <c r="H232" i="3"/>
  <c r="H227" i="3"/>
  <c r="H229" i="3" s="1"/>
  <c r="H226" i="3"/>
  <c r="H222" i="3"/>
  <c r="H218" i="3"/>
  <c r="H213" i="3"/>
  <c r="H209" i="3"/>
  <c r="H211" i="3" s="1"/>
  <c r="H206" i="3"/>
  <c r="H197" i="3"/>
  <c r="H198" i="3" s="1"/>
  <c r="H195" i="3"/>
  <c r="H190" i="3"/>
  <c r="H180" i="3"/>
  <c r="H167" i="3" s="1"/>
  <c r="H163" i="3"/>
  <c r="H164" i="3" s="1"/>
  <c r="H161" i="3"/>
  <c r="H45" i="3"/>
  <c r="H148" i="3" s="1"/>
  <c r="H44" i="3"/>
  <c r="H16" i="3"/>
  <c r="H32" i="3"/>
  <c r="H89" i="3"/>
  <c r="H90" i="3"/>
  <c r="H99" i="3"/>
  <c r="H100" i="3"/>
  <c r="H117" i="3"/>
  <c r="H111" i="3"/>
  <c r="H84" i="3"/>
  <c r="H75" i="3"/>
  <c r="H52" i="3"/>
  <c r="H53" i="3" s="1"/>
  <c r="H812" i="3" l="1"/>
  <c r="H250" i="3"/>
  <c r="H1212" i="3"/>
  <c r="H273" i="3"/>
  <c r="H1186" i="3"/>
  <c r="H1179" i="3"/>
  <c r="H1184" i="3" s="1"/>
  <c r="H1050" i="3"/>
  <c r="H1015" i="3"/>
  <c r="H1017" i="3" s="1"/>
  <c r="H977" i="3"/>
  <c r="H993" i="3"/>
  <c r="H1003" i="3" s="1"/>
  <c r="H906" i="3"/>
  <c r="H954" i="3" s="1"/>
  <c r="H955" i="3"/>
  <c r="H965" i="3" s="1"/>
  <c r="H877" i="3"/>
  <c r="H841" i="3"/>
  <c r="H844" i="3" s="1"/>
  <c r="H550" i="3"/>
  <c r="H786" i="3"/>
  <c r="H548" i="3"/>
  <c r="H535" i="3" s="1"/>
  <c r="H422" i="3"/>
  <c r="H371" i="3"/>
  <c r="H417" i="3"/>
  <c r="H381" i="3"/>
  <c r="H414" i="3"/>
  <c r="H351" i="3"/>
  <c r="H361" i="3" s="1"/>
  <c r="H162" i="3"/>
  <c r="H646" i="3"/>
  <c r="H612" i="3" s="1"/>
  <c r="H150" i="3"/>
  <c r="H83" i="3"/>
  <c r="H817" i="3"/>
  <c r="H673" i="3"/>
  <c r="H674" i="3" s="1"/>
  <c r="H871" i="3"/>
  <c r="H647" i="3"/>
  <c r="H876" i="3" s="1"/>
  <c r="H196" i="3"/>
  <c r="H748" i="3"/>
  <c r="H792" i="3"/>
  <c r="H878" i="3"/>
  <c r="H1231" i="3"/>
  <c r="H1270" i="3"/>
  <c r="H1251" i="3"/>
  <c r="H252" i="3"/>
  <c r="H801" i="3"/>
  <c r="H795" i="3" s="1"/>
  <c r="H1257" i="3"/>
  <c r="H1152" i="3"/>
  <c r="H1220" i="3"/>
  <c r="H1237" i="3"/>
  <c r="H606" i="3"/>
  <c r="H873" i="3"/>
  <c r="H756" i="3"/>
  <c r="H879" i="3"/>
  <c r="H1009" i="3"/>
  <c r="H1064" i="3"/>
  <c r="H570" i="3"/>
  <c r="H991" i="3"/>
  <c r="H452" i="3"/>
  <c r="H236" i="3"/>
  <c r="H345" i="3"/>
  <c r="H469" i="3"/>
  <c r="H445" i="3"/>
  <c r="H430" i="3" s="1"/>
  <c r="H242" i="3"/>
  <c r="H244" i="3" s="1"/>
  <c r="H168" i="3"/>
  <c r="H169" i="3" s="1"/>
  <c r="H166" i="3" s="1"/>
  <c r="H406" i="3"/>
  <c r="H258" i="3"/>
  <c r="H259" i="3" s="1"/>
  <c r="H257" i="3" s="1"/>
  <c r="H392" i="3"/>
  <c r="H313" i="3"/>
  <c r="H374" i="3"/>
  <c r="H278" i="3"/>
  <c r="H549" i="3" l="1"/>
  <c r="H992" i="3"/>
  <c r="H413" i="3"/>
  <c r="H350" i="3"/>
  <c r="H362" i="3" s="1"/>
  <c r="H272" i="3"/>
  <c r="H1004" i="3"/>
  <c r="H648" i="3"/>
  <c r="H649" i="3" s="1"/>
  <c r="H617" i="3"/>
  <c r="H1256" i="3"/>
  <c r="H1221" i="3"/>
  <c r="H1255" i="3" s="1"/>
  <c r="H869" i="3"/>
  <c r="H563" i="3"/>
  <c r="H966" i="3"/>
  <c r="H426" i="3"/>
  <c r="H311" i="3"/>
  <c r="H284" i="3"/>
  <c r="H335" i="3"/>
  <c r="H1276" i="3" l="1"/>
  <c r="H1277" i="3" s="1"/>
  <c r="H874" i="3"/>
  <c r="H883" i="3" s="1"/>
  <c r="H620" i="3"/>
  <c r="H621" i="3" s="1"/>
  <c r="H427" i="3"/>
  <c r="H564" i="3"/>
  <c r="H285" i="3"/>
  <c r="H868" i="3" l="1"/>
  <c r="H884" i="3" s="1"/>
  <c r="H110" i="3"/>
  <c r="H20" i="3"/>
  <c r="H87" i="3"/>
  <c r="H144" i="3" s="1"/>
  <c r="H86" i="3"/>
  <c r="H136" i="3"/>
  <c r="H132" i="3"/>
  <c r="H126" i="3"/>
  <c r="H125" i="3"/>
  <c r="H124" i="3"/>
  <c r="H121" i="3"/>
  <c r="H78" i="3" l="1"/>
  <c r="H142" i="3"/>
  <c r="H79" i="3"/>
  <c r="H151" i="3"/>
  <c r="H82" i="3"/>
  <c r="H127" i="3"/>
  <c r="H134" i="3"/>
  <c r="H118" i="3"/>
  <c r="H114" i="3"/>
  <c r="H156" i="3" l="1"/>
  <c r="H145" i="3"/>
  <c r="H81" i="3"/>
  <c r="H140" i="3"/>
  <c r="H106" i="3"/>
  <c r="H88" i="3"/>
  <c r="H76" i="3"/>
  <c r="H73" i="3"/>
  <c r="H69" i="3"/>
  <c r="H66" i="3"/>
  <c r="H64" i="3"/>
  <c r="H60" i="3"/>
  <c r="H58" i="3"/>
  <c r="H56" i="3"/>
  <c r="H50" i="3"/>
  <c r="H42" i="3"/>
  <c r="H38" i="3"/>
  <c r="H35" i="3"/>
  <c r="H31" i="3"/>
  <c r="H29" i="3"/>
  <c r="H24" i="3"/>
  <c r="H21" i="3"/>
  <c r="H19" i="3"/>
  <c r="H15" i="3"/>
  <c r="H13" i="3"/>
  <c r="H9" i="3"/>
  <c r="H71" i="3" l="1"/>
  <c r="H131" i="3"/>
  <c r="H101" i="3"/>
  <c r="H93" i="3"/>
  <c r="H116" i="3"/>
  <c r="H97" i="3" l="1"/>
  <c r="H141" i="3" s="1"/>
  <c r="H77" i="3" l="1"/>
  <c r="H157" i="3"/>
  <c r="H158" i="3" l="1"/>
</calcChain>
</file>

<file path=xl/sharedStrings.xml><?xml version="1.0" encoding="utf-8"?>
<sst xmlns="http://schemas.openxmlformats.org/spreadsheetml/2006/main" count="6052" uniqueCount="2115">
  <si>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</si>
  <si>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</si>
  <si>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</si>
  <si>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</si>
  <si>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</si>
  <si>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</si>
  <si>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</si>
  <si>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2026 m.</t>
  </si>
  <si>
    <t>Požymis</t>
  </si>
  <si>
    <t>Veiklos vykdytojas (skyriaus ar įstaigos sutrumpinimas, darbuotojo V. Pavardė)</t>
  </si>
  <si>
    <t xml:space="preserve">Proceso ar/ir indėlio vertinimo kriterijai, matavimo vienetai 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</si>
  <si>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</si>
  <si>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</si>
  <si>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</si>
  <si>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</si>
  <si>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11.1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</si>
  <si>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</si>
  <si>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</si>
  <si>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</si>
  <si>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</si>
  <si>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</si>
  <si>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</si>
  <si>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</si>
  <si>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</si>
  <si>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</si>
  <si>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11.2</t>
  </si>
  <si>
    <t>11.6</t>
  </si>
  <si>
    <t>11.3</t>
  </si>
  <si>
    <t>11.4</t>
  </si>
  <si>
    <t>11.5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</si>
  <si>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</si>
  <si>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</si>
  <si>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</si>
  <si>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</si>
  <si>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</si>
  <si>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</si>
  <si>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</si>
  <si>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</si>
  <si>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</si>
  <si>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</si>
  <si>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</si>
  <si>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</si>
  <si>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ML(UK)</t>
  </si>
  <si>
    <t>11.23</t>
  </si>
  <si>
    <t>11.27</t>
  </si>
  <si>
    <t>1-1-1-21</t>
  </si>
  <si>
    <t>Metų mokytojo vardo premijos skyrimas ir Tarptautinės mokytojo dienos renginio organizavimas</t>
  </si>
  <si>
    <t>11</t>
  </si>
  <si>
    <t>1.1.3.4.</t>
  </si>
  <si>
    <t>NN</t>
  </si>
  <si>
    <t>ŠSS, A. Petravičius</t>
  </si>
  <si>
    <t>Apdovanojamų mokytojų skaičius, vnt.
Renginys Mokytojų dienos proga, vnt.</t>
  </si>
  <si>
    <t>3
1</t>
  </si>
  <si>
    <t>1-1-1-23</t>
  </si>
  <si>
    <t>"Tūkstantmečio mokyklų" programos projekto įgyvendinimas</t>
  </si>
  <si>
    <t>1.1.1.43</t>
  </si>
  <si>
    <t>ES</t>
  </si>
  <si>
    <t>ŠSS, R. Žvaginienė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</si>
  <si>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</si>
  <si>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</si>
  <si>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</si>
  <si>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</si>
  <si>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</si>
  <si>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</si>
  <si>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</si>
  <si>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SKPS, V. Viršilas</t>
  </si>
  <si>
    <t>Įrengtas liftas Gargždų "Kranto" progimnazijoje, vnt.</t>
  </si>
  <si>
    <t>Gargždų</t>
  </si>
  <si>
    <t>11.22</t>
  </si>
  <si>
    <t>11.21</t>
  </si>
  <si>
    <t>1-1-1-26</t>
  </si>
  <si>
    <t>Mokinių vežimo į ugdymo įstaigas finansavimas</t>
  </si>
  <si>
    <t>1.1.5.1.</t>
  </si>
  <si>
    <t>SKPS, R. Rudgalvienė</t>
  </si>
  <si>
    <t>Finansuojamų spec. reisų skaičius, vnt</t>
  </si>
  <si>
    <t>LK</t>
  </si>
  <si>
    <t>1-1-1-27</t>
  </si>
  <si>
    <t>Švietimo įstaigų elektros ir kuro išlaidų, šildymo  finansavimas</t>
  </si>
  <si>
    <t>1.1.5.4</t>
  </si>
  <si>
    <t>KŪAS, V. Gabrilavičius</t>
  </si>
  <si>
    <t xml:space="preserve">Panaudotos lėšos, proc. </t>
  </si>
  <si>
    <t>1-1-1-29</t>
  </si>
  <si>
    <t>Projekto „Ankstyvojo ugdymo užtikrinimas vaikams iš socialinę riziką patiriančių šeimų“ įgyvendinimas</t>
  </si>
  <si>
    <t>1.1.3.21.</t>
  </si>
  <si>
    <t>ŠSS, R. Galvanauskė</t>
  </si>
  <si>
    <t>Mokyklų skaičius, kuriose įgyvendinamos projekto veiklos, vnt.</t>
  </si>
  <si>
    <t>1-1-1-30</t>
  </si>
  <si>
    <t>Lėšos išeitinėms išmokoms ir kitoms su darbo santykiais susijusioms išmokoms ir kompensacijoms mokėti</t>
  </si>
  <si>
    <t>1.4.4.31.</t>
  </si>
  <si>
    <t>CB, D. Drungilaitė</t>
  </si>
  <si>
    <t>Pervesta lėšų, proc.</t>
  </si>
  <si>
    <t>1-1-1-31</t>
  </si>
  <si>
    <t>Klaipėdos rajono savivaldybės administracijos vaiko gerovės komisijos darbo užtikrinimas</t>
  </si>
  <si>
    <t>1.1.3.22.</t>
  </si>
  <si>
    <t>TIBK, T. Stonkė</t>
  </si>
  <si>
    <t xml:space="preserve">Organizuotas komisijos darbas, vnt. </t>
  </si>
  <si>
    <t>1-1-1-32</t>
  </si>
  <si>
    <t>Projekto „Švietimo pagalbos ir
koordinuotai teikiamų paslaugų modelio
diegimas ir sklaida “ įgyvendinimas</t>
  </si>
  <si>
    <t xml:space="preserve">1.1.3.23. </t>
  </si>
  <si>
    <t>Vaikų, gaunančių koordinuotai teikiamas paslaugas 2026 m., skaičius</t>
  </si>
  <si>
    <t>1-1-1-33</t>
  </si>
  <si>
    <t>Projekto "Ugdymo priemonės mokykloms" įgyvendinimas</t>
  </si>
  <si>
    <t>1.1.3.24.</t>
  </si>
  <si>
    <t>ŠSS, B. Gudauskienė, R. Žvaginienė</t>
  </si>
  <si>
    <t xml:space="preserve">Administruotas projektas, vnt. </t>
  </si>
  <si>
    <t>1-1-1-34</t>
  </si>
  <si>
    <t>Visos dienos mokyklos paslaugų prieinamumo didinimas Klaipėdos rajono savivaldybėje</t>
  </si>
  <si>
    <t>1.1.3.25.</t>
  </si>
  <si>
    <t>ŠSS, V. Gudzevičienė</t>
  </si>
  <si>
    <t>Projekte dalyvaujančių mokinių skaičius, vnt.</t>
  </si>
  <si>
    <t>1-1-2</t>
  </si>
  <si>
    <t xml:space="preserve">Atsiskaitymas už  vaikų ugdymą Klaipėdos miesto savivaldybės ir privačiose ikimokyklinėse ir bendrojo ugdymo įstaigose </t>
  </si>
  <si>
    <t>1.4.4.30.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</si>
  <si>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</si>
  <si>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</si>
  <si>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</si>
  <si>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</si>
  <si>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</si>
  <si>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</si>
  <si>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</si>
  <si>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</si>
  <si>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</si>
  <si>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</si>
  <si>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</si>
  <si>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</si>
  <si>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</si>
  <si>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ŠSS, D. Pareigienė</t>
  </si>
  <si>
    <t>Finansuoti organizuoti renginiai Klaipėdos rajono savivaldybėje, Mokinių dainų šventė, vnt.</t>
  </si>
  <si>
    <t>11.19</t>
  </si>
  <si>
    <t>11.20</t>
  </si>
  <si>
    <t>1-1-3-4</t>
  </si>
  <si>
    <t>Neformaliojo vaikų švietimo programos įgyvendinimas</t>
  </si>
  <si>
    <t>1.2.1.5.</t>
  </si>
  <si>
    <t>Neformaliojo vaikų švietimo programų skaičius, vnt.</t>
  </si>
  <si>
    <t>1-1-3-5</t>
  </si>
  <si>
    <t>Vaikų vasaros poilsio programų įgyvendinimas</t>
  </si>
  <si>
    <t>1.1.3.5.</t>
  </si>
  <si>
    <t>Vaikų vasaros poilsio programų skaičius, vnt.</t>
  </si>
  <si>
    <t>1-1-3-6</t>
  </si>
  <si>
    <t>Neformaliojo suaugusiųjų švietimo programų finansavimas</t>
  </si>
  <si>
    <t>1.1.3.3.</t>
  </si>
  <si>
    <t>Įvertintų programų skaičius, vnt.</t>
  </si>
  <si>
    <t>1-1-3-7</t>
  </si>
  <si>
    <t>Neformaliojo vaikų švietimo elektroninės apskaitos sistemos ir ekosistemos atsiskaitymams negrynaisiais pinigais mokyklų valgyklose kūrimas</t>
  </si>
  <si>
    <t>1.1.3.13.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</si>
  <si>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</si>
  <si>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</si>
  <si>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</si>
  <si>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>1-1-3-8</t>
  </si>
  <si>
    <t>Mokinių verslumo ir finansinio raštingumo projektų iniciatyvų skatinimas švietimo įstaigose</t>
  </si>
  <si>
    <t>1.1.3.14.</t>
  </si>
  <si>
    <t xml:space="preserve">
Mokinių iniciatyvų projektų skaičius, vnt.
Mokinių mažųjų bendrovių eXpo paroda, vnt.</t>
  </si>
  <si>
    <t>15
1</t>
  </si>
  <si>
    <t>1-1-4</t>
  </si>
  <si>
    <t>Sudaryti sąlygas gyventojams Klaipėdos rajono švietimo centre tenkinti pažinimo poreikius, tobulinti įgytą kvalifikaciją</t>
  </si>
  <si>
    <t>1-1-4-2</t>
  </si>
  <si>
    <t>Pedagogų rengimo, perkvalifikavimo, jaunųjų pedagogų pritraukimo ir mokytojo prestižo didinimo dalinis finansavimas</t>
  </si>
  <si>
    <t>1.1.3.17.</t>
  </si>
  <si>
    <t>Sudarytų finansavimo sutarčių su persikvalifikuojančiais mokytojais ir studentais skaičius, vnt.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</si>
  <si>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</si>
  <si>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</si>
  <si>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</si>
  <si>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</si>
  <si>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Įsigytų autobusų skaičius, vnt.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</si>
  <si>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</si>
  <si>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</si>
  <si>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</si>
  <si>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</si>
  <si>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Endriejavo pagrindinė mokykla</t>
  </si>
  <si>
    <t>Agluonėnų mokykla-darželis</t>
  </si>
  <si>
    <t>Gargždų muzikos mokykla</t>
  </si>
  <si>
    <t>Pedagoginė psichologinė tarnyba</t>
  </si>
  <si>
    <t>Slengių mokykla-daugiafunkcinis centras</t>
  </si>
  <si>
    <t>Lėšų paskirstymas švietimo įstaigoms pagal pateiktus prašymus ir lėšų poreikį, įgyvendinta veikla, vnt.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</si>
  <si>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</si>
  <si>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</si>
  <si>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</si>
  <si>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</si>
  <si>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</si>
  <si>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</si>
  <si>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</si>
  <si>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</si>
  <si>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</si>
  <si>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K. Jokubaitytė</t>
  </si>
  <si>
    <t>Įgyvendinta rangos darbų, proc.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</si>
  <si>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</si>
  <si>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</si>
  <si>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</si>
  <si>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R. Sarulienė</t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</si>
  <si>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</si>
  <si>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</si>
  <si>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</si>
  <si>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</si>
  <si>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</si>
  <si>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</si>
  <si>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</si>
  <si>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</si>
  <si>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</si>
  <si>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</si>
  <si>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Parengtas techninis projektas, vnt.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</si>
  <si>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</si>
  <si>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</si>
  <si>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</si>
  <si>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</si>
  <si>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Atlikti projektavimo darbai, proc.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</si>
  <si>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</si>
  <si>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</si>
  <si>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</si>
  <si>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 xml:space="preserve">Sumokėta įmoka, vnt. </t>
  </si>
  <si>
    <t>CB, V. Mineikienė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</si>
  <si>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</si>
  <si>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</si>
  <si>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</si>
  <si>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</si>
  <si>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M. Šatkus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</si>
  <si>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</si>
  <si>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</si>
  <si>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J. Jackus</t>
  </si>
  <si>
    <t>1-2-3-10</t>
  </si>
  <si>
    <t>Agluonėnų darželio pastato sutvarkymas</t>
  </si>
  <si>
    <t>1.3.1.9.</t>
  </si>
  <si>
    <t xml:space="preserve">R. Sarulienė
</t>
  </si>
  <si>
    <t>Agluonėnų</t>
  </si>
  <si>
    <t>1-2-3-11</t>
  </si>
  <si>
    <t>Vėžaičių darželio projektavimas ir sutvarkymas</t>
  </si>
  <si>
    <t>1.3.1.10.</t>
  </si>
  <si>
    <t>A. Ronkus</t>
  </si>
  <si>
    <t>Vėžaičių</t>
  </si>
  <si>
    <t>Kretingalės</t>
  </si>
  <si>
    <t>1-2-3-15</t>
  </si>
  <si>
    <t>Plikių I. Labutytės mokyklos atnaujinimas</t>
  </si>
  <si>
    <t>1.3.1.14.</t>
  </si>
  <si>
    <t>1-2-3-18</t>
  </si>
  <si>
    <t>Pastato – bendrabučio, esančio Klaipėdos g. 6, Priekulės mieste, paskirties pakeitimas į mokslo paskirties pastatą</t>
  </si>
  <si>
    <t>1.3.1.17.</t>
  </si>
  <si>
    <t xml:space="preserve">Parengtas paskirties pakeitimo projektas, vnt. </t>
  </si>
  <si>
    <t>1-2-3-19</t>
  </si>
  <si>
    <t>Pastato – parduotuvės, esančios Klaipėdos g. 34, Kretingalės miestelyje, paskirties pakeitimas į mokslo paskirties pastatą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</si>
  <si>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</si>
  <si>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</si>
  <si>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</si>
  <si>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</si>
  <si>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R. Sarulienė, 
J. Blinstrubienė</t>
  </si>
  <si>
    <t>Įgyvendintas projektas, vnt.</t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</si>
  <si>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</si>
  <si>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</si>
  <si>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</si>
  <si>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ATPS, A. Grigaitytė-Dromantienė</t>
  </si>
  <si>
    <t>parengta techninė specifikacija, įvykęs paslaugos pirkimas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</si>
  <si>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</si>
  <si>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</si>
  <si>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</si>
  <si>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</si>
  <si>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</si>
  <si>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</si>
  <si>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</si>
  <si>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</si>
  <si>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</si>
  <si>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</si>
  <si>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</si>
  <si>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</si>
  <si>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</si>
  <si>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</si>
  <si>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</si>
  <si>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 xml:space="preserve">SPPVS, M. Virbauskas </t>
  </si>
  <si>
    <t>Pareiškėjų skaičius, vnt. 
Verslumo renginiai, vnt.</t>
  </si>
  <si>
    <t>30
1</t>
  </si>
  <si>
    <t>2-1-2</t>
  </si>
  <si>
    <t>Klaipėdos rajono žemės ūkio ir kaimo plėtros rėmimo programa</t>
  </si>
  <si>
    <t>2.1.2.2.</t>
  </si>
  <si>
    <t>ŽŪS, A. Bazilienė</t>
  </si>
  <si>
    <t>Išnagrinėta ūkininkų prašymų dėl paramos skyrimo, vnt.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</si>
  <si>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</si>
  <si>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</si>
  <si>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</si>
  <si>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</si>
  <si>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</si>
  <si>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</si>
  <si>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</si>
  <si>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ŽŪS, J. Mykolaitis, R. Danielkus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</si>
  <si>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</si>
  <si>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</si>
  <si>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</si>
  <si>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</si>
  <si>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ŽŪS, R. Nekrošienė</t>
  </si>
  <si>
    <t>Parengtas techninis projektas, vnt., atlikti darbai</t>
  </si>
  <si>
    <t>2-2-1-1-3</t>
  </si>
  <si>
    <t>Hidrotechninio įrenginio, esančio Dovilų sen.,  Kulių k., rekonstrukcijos projekto, ekspertizės, sąmatos ir kt. parengimas</t>
  </si>
  <si>
    <t>2.2.1.8.27.</t>
  </si>
  <si>
    <t>Dovilų seniūnija</t>
  </si>
  <si>
    <t xml:space="preserve">Parengtas techninis projektas, vnt., </t>
  </si>
  <si>
    <t>2-2-1-1-10</t>
  </si>
  <si>
    <t>Melioracijos griovio up. Ringelis esančio Klaipėdos r. sav, Sendvario sen., rekonstrukcijos rangos darbai, projekto ir rangos darbų techninė priežiūra</t>
  </si>
  <si>
    <t>ŽŪS, L. Kundrotas</t>
  </si>
  <si>
    <t>Suremontuota melioracijos griovio dalis, km</t>
  </si>
  <si>
    <t>2-2-1-1-11</t>
  </si>
  <si>
    <t>Melioracijos griovio up. Žvejonė esančio Klaipėdos r. sav, Sendvario sen., rekonstrukcijos rangos darbai, projekto ir rangos darbų techninė priežiūra</t>
  </si>
  <si>
    <t>2-2-1-1-13</t>
  </si>
  <si>
    <t xml:space="preserve">Melioracijos statinių avarinių gedimų remonto darbai </t>
  </si>
  <si>
    <t>ŽŪS, J. Mykolaitis</t>
  </si>
  <si>
    <t xml:space="preserve">Suremontuotų objektų skaičius, vnt. </t>
  </si>
  <si>
    <t>2-2-1-1-14</t>
  </si>
  <si>
    <t>Hidrotechninių statinių: Vėžaičių, Greičiūnų, Eketės, užtvankų ir tiltų techninės apžiūros paslaugos</t>
  </si>
  <si>
    <t>Objektų, kurių įvertinta būklė, skaičius, vnt.</t>
  </si>
  <si>
    <t>2-2-1-1-15</t>
  </si>
  <si>
    <t xml:space="preserve">Melioracijos statinių ir valstybei priklausančių užvankų  esančių Klaipėdos rajone, remonto ir priežiūros darbai </t>
  </si>
  <si>
    <t xml:space="preserve">Suremontuoti/prižiūrėti melioracijos grioviai, km </t>
  </si>
  <si>
    <t>2-2-1-1-16</t>
  </si>
  <si>
    <t>Klaipėdos r. sav, esančių melioracijos statinių remonto techninių darbo projektų, projektinių pasiūlymų, taisyklių parengimas</t>
  </si>
  <si>
    <t xml:space="preserve">Parengtas  remonto techninis darbo projektas, suremontuoti melioracijos grioviai, vnt
</t>
  </si>
  <si>
    <t>2-2-1-1-17</t>
  </si>
  <si>
    <t>Jokšų polderio pylimo (nuo kelio  Nr. 2206 iki kelio Nr. 2241) remonto darbai (2 dalis)</t>
  </si>
  <si>
    <t>Suremontuota Jokšų polderio dalis, km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</si>
  <si>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</si>
  <si>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</si>
  <si>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Įgyvendintas remonto techninis projektas, atlikta darbų, proc.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</si>
  <si>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</si>
  <si>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</si>
  <si>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>ŽŪS, R. Danielkus</t>
  </si>
  <si>
    <t xml:space="preserve">Parengtas  remonto techninis darbo projektas, suremontuoti melioracijos grioviai, km
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</si>
  <si>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</si>
  <si>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</si>
  <si>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</si>
  <si>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</si>
  <si>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</si>
  <si>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</si>
  <si>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Suremontuoti melioracijos grioviai, km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</si>
  <si>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</si>
  <si>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</si>
  <si>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</si>
  <si>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</si>
  <si>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</si>
  <si>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Rekonstruotos drenažo žiotys, vnt.</t>
  </si>
  <si>
    <t>2-2-1-3</t>
  </si>
  <si>
    <t>Plikių ir Dauparų kadastro vietovių dalies melioracijos statinių rekonstravimo darbai</t>
  </si>
  <si>
    <t>2.2.1.29</t>
  </si>
  <si>
    <t>Rekonstruoti grioviai, km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</si>
  <si>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</si>
  <si>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</si>
  <si>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</si>
  <si>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</si>
  <si>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</si>
  <si>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</si>
  <si>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Panaudotos lėšos, proc.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</si>
  <si>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</si>
  <si>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</si>
  <si>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</si>
  <si>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Suremontuoti/prižiūrėti melioracijos statiniai, km</t>
  </si>
  <si>
    <t>2-2-2-1-2</t>
  </si>
  <si>
    <t>Perteklinio vandens pašalinimo paslaugos Klaipėdos rajono polderinėse sausinimo sistemose (polderių priežiūra) (7 siurblinių priežiūra ir elektros išlaidos)</t>
  </si>
  <si>
    <t>Prižiūrimos siurblinės, vnt.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</si>
  <si>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</si>
  <si>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</si>
  <si>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</si>
  <si>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</si>
  <si>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</si>
  <si>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</si>
  <si>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 xml:space="preserve">Suteikta techninės priežiūros paslaugų, vnt. 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</si>
  <si>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</si>
  <si>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</si>
  <si>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</si>
  <si>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</si>
  <si>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</si>
  <si>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</si>
  <si>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 xml:space="preserve">Melioruotos žemės ir melioracijos statinių kompiuterinės apskaitos paslaugų įgyvendinimo sutarties vykdymo priežiūra, vnt. </t>
  </si>
  <si>
    <t>2-3 Uždavinys: Didinti ir gerinti turizmo paslaugų teikimą</t>
  </si>
  <si>
    <t>15.1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</si>
  <si>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</si>
  <si>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</si>
  <si>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</si>
  <si>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</si>
  <si>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</si>
  <si>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Atlikti rangos darbai, proc.</t>
  </si>
  <si>
    <t>Judrėnų</t>
  </si>
  <si>
    <t>2-3-3-3</t>
  </si>
  <si>
    <t>Dalyvavimas didinant regiono pasiekiamumą oro transportu</t>
  </si>
  <si>
    <t>10</t>
  </si>
  <si>
    <t>2.3.2.11.</t>
  </si>
  <si>
    <t>SPPVS, M. Šatkus</t>
  </si>
  <si>
    <t>Pervestos lėšos, proc.</t>
  </si>
  <si>
    <t>2-3-3-6</t>
  </si>
  <si>
    <t>Vandens maršrutų tinklo plėtra Latvijoje ir Lietuvoje, toliau plečiant tarpvalstybinio turizmo produktą www.riverways.eu</t>
  </si>
  <si>
    <t>19</t>
  </si>
  <si>
    <t>2.3.3.26</t>
  </si>
  <si>
    <t>SPPVS, R. Grubliauskytė</t>
  </si>
  <si>
    <t xml:space="preserve">Vykdyta projekto priežiūra, vnt. </t>
  </si>
  <si>
    <t>Agluonėnų seniūnija</t>
  </si>
  <si>
    <t xml:space="preserve">Susigrąžintos ES lėšos, proc. </t>
  </si>
  <si>
    <t>2-3-3-7</t>
  </si>
  <si>
    <t>Drevernos turistinės vietovės plėtra</t>
  </si>
  <si>
    <t>2.3.1.12.</t>
  </si>
  <si>
    <t>SKPS, F. Žemgulys</t>
  </si>
  <si>
    <t>Atlikti šliuzo rangos darbai, proc.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</si>
  <si>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</si>
  <si>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</si>
  <si>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</si>
  <si>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</si>
  <si>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ATPS, J. Tamošauskienė</t>
  </si>
  <si>
    <t>Elektros įvadas ir aikštelė</t>
  </si>
  <si>
    <t>SKPS, A. Vaitkė</t>
  </si>
  <si>
    <t>Įvestas elektros įvadas, vnt.</t>
  </si>
  <si>
    <t>2-3-3-10</t>
  </si>
  <si>
    <t>Projektas "MariEx - Naujų jūrinio turizmo keliautojų patirčių sukūrimas krante"</t>
  </si>
  <si>
    <t>2.3.2.30.</t>
  </si>
  <si>
    <t>Atlikti Drevernos mokyklos remonto darbai, proc.</t>
  </si>
  <si>
    <t>Slipo techninio projekto parengimas Vilhelmo kanale, vnt. 
Atlikti rangos darbai, proc.</t>
  </si>
  <si>
    <t>1
50</t>
  </si>
  <si>
    <t>8.6</t>
  </si>
  <si>
    <t>2-3-3-13</t>
  </si>
  <si>
    <t>Projekto "Laivo formos ekspoziciniai stendai - mobili žvejų promenada" įgyvendinimas</t>
  </si>
  <si>
    <t>2.3.1.14.</t>
  </si>
  <si>
    <t>Priekulės seniūnija</t>
  </si>
  <si>
    <t>2-3-3-15</t>
  </si>
  <si>
    <t>Turizmo plėtros plano priemonių įgyvendinimas (Karklės uostelio galimybių studija)</t>
  </si>
  <si>
    <t>2.3.2.33.</t>
  </si>
  <si>
    <t xml:space="preserve">SB </t>
  </si>
  <si>
    <t>SPPVS, 
R. Grubliauskytė</t>
  </si>
  <si>
    <t>Parengta galimybių studija, vnt.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</si>
  <si>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</si>
  <si>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</si>
  <si>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</si>
  <si>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</si>
  <si>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</si>
  <si>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</si>
  <si>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</si>
  <si>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ATPS, A.Grigaitytė-Dromantienė</t>
  </si>
  <si>
    <t>Parengtas detalusis planas</t>
  </si>
  <si>
    <t>2-4-1-2</t>
  </si>
  <si>
    <t>Žemės valdų projektų rengimas</t>
  </si>
  <si>
    <t>2.4.1.26.</t>
  </si>
  <si>
    <t>ŽGGS, G. Jurjonė</t>
  </si>
  <si>
    <t>Parengti žemės valdų projektai, vnt.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</si>
  <si>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</si>
  <si>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</si>
  <si>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</si>
  <si>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</si>
  <si>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</si>
  <si>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</si>
  <si>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</si>
  <si>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</si>
  <si>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ATPS, K. Litvinas</t>
  </si>
  <si>
    <t>Nupirkta monitoringo rengimo paslauga</t>
  </si>
  <si>
    <t>2-4-2-1-3</t>
  </si>
  <si>
    <t>Drevernos - Svencelės apylinkių urbanizuotos teritorijos bendrojo plano rengimas su urbanistine idėja</t>
  </si>
  <si>
    <t>ATPS, 
J. Tamošauskienė</t>
  </si>
  <si>
    <t xml:space="preserve">Bendrojo plano parengimo lygis, proc. 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</si>
  <si>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</si>
  <si>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</si>
  <si>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</si>
  <si>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</si>
  <si>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</si>
  <si>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</si>
  <si>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</si>
  <si>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</si>
  <si>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</si>
  <si>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</si>
  <si>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2-4-2-2-3</t>
  </si>
  <si>
    <t xml:space="preserve">Vietinės reikšmės kelių Sendvario sen. Danės g. žemės paėmimo visuomenės  poreikiams projektas </t>
  </si>
  <si>
    <t xml:space="preserve">TVS, A. Indzelė </t>
  </si>
  <si>
    <t>Patvirtinto projekto įgyvendinimas, atsiskaitoma su žemė sklypų savininkais, proc.</t>
  </si>
  <si>
    <t>2-4-2-2-4</t>
  </si>
  <si>
    <t>Vietinės reikšmės kelių Priekulės sen. Pievų g. ir S. Šrėderio g. žemės paėmimo visuomenės  poreikiams projektas</t>
  </si>
  <si>
    <t>2-4-2-2-5</t>
  </si>
  <si>
    <t>Vietinės reikšmės kelio Maciuičiai-Ežaičiai specialiojo plano parengimas. Žemės paėmimo visuomenės poreikiams projektas</t>
  </si>
  <si>
    <t>Patvirtinto projekto įgyvendinimas, proc.</t>
  </si>
  <si>
    <t>2-4-2-2-7</t>
  </si>
  <si>
    <t>Žemės paėmimo visuomenės poreikiams projektų parengimo paslaugos pirkimas ir įgyvendinimas</t>
  </si>
  <si>
    <t>ŽGGIS, L. Salickienė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</si>
  <si>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</si>
  <si>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</si>
  <si>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</si>
  <si>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</si>
  <si>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</si>
  <si>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</si>
  <si>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</si>
  <si>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Parengti projektiniai pasiūlymai, vnt</t>
  </si>
  <si>
    <t>2-4-3-1-2</t>
  </si>
  <si>
    <t xml:space="preserve">Priekulės miesto dviračių transporto infrastruktūros plėtros plano parengimas </t>
  </si>
  <si>
    <t>9.1</t>
  </si>
  <si>
    <t>IPS, Š. Čičinis</t>
  </si>
  <si>
    <t>Parengtas projektas, vnt.</t>
  </si>
  <si>
    <t>2-4-3-1-4</t>
  </si>
  <si>
    <t>Kretingalės viešosios erdvės projektavimas ir įrengimas</t>
  </si>
  <si>
    <t>2.4.5.1.31.</t>
  </si>
  <si>
    <t xml:space="preserve">Kretingalės seniūnija, </t>
  </si>
  <si>
    <t>2-4-3-1-5</t>
  </si>
  <si>
    <t>Jakų parko sporto ir laisvalaikio erdvės projektavimas</t>
  </si>
  <si>
    <t>2.4.5.1.</t>
  </si>
  <si>
    <t xml:space="preserve"> Įvykdytas pirkimas, parengtas projektas, vnt</t>
  </si>
  <si>
    <t>2-4-3-1-6</t>
  </si>
  <si>
    <t>Kretingalės miestelio centro viešųjų erdvių sutvarkymas (projektas)</t>
  </si>
  <si>
    <t>ATPS, A, Grigaitytė-Dromantienė</t>
  </si>
  <si>
    <t>parengta pirkimo techninė specifikacija,Įvykdytas pirkimas, vnt</t>
  </si>
  <si>
    <t>2-4-3-2</t>
  </si>
  <si>
    <t>Gargždų miesto centrinės dalies detaliojo plano sprendinių įgyvendinimo programa</t>
  </si>
  <si>
    <t>2.4.1.46</t>
  </si>
  <si>
    <t xml:space="preserve">Įsigyti garažai, vnt. </t>
  </si>
  <si>
    <t>IPS, V. Valantinas</t>
  </si>
  <si>
    <t>Gargždų seniūnija</t>
  </si>
  <si>
    <t xml:space="preserve">Atsiskaityta už įvykdytą pirkimą, vnt. </t>
  </si>
  <si>
    <t>ES(Kt)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</si>
  <si>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</si>
  <si>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</si>
  <si>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</si>
  <si>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KŪAS, K. Stulpinienė,
R. Bakaitienė</t>
  </si>
  <si>
    <t xml:space="preserve">Vykdytos aplinkos kokybės gerinimo ir apsaugos priemonės, vnt.
</t>
  </si>
  <si>
    <t>3-1-1-1</t>
  </si>
  <si>
    <t>Aplinkos apsaugos specialiosios programos įgyvendinimas</t>
  </si>
  <si>
    <t>18</t>
  </si>
  <si>
    <t>3.1.1.2.</t>
  </si>
  <si>
    <t>AA</t>
  </si>
  <si>
    <t>Vykdytos atliekų, kurių turėtojo nustatyti neįmanoma arba kuris nebeegzistuoja, tvarkymo priemonės, vnt.</t>
  </si>
  <si>
    <t>Vykdytos aplinkos monitoringo, prevencinės, aplinkos atkūrimo priemonės, vnt.</t>
  </si>
  <si>
    <t>LA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</si>
  <si>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</si>
  <si>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</si>
  <si>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>3-1-1-2</t>
  </si>
  <si>
    <t>Gyvūnų augintinių gausos reguliavimo programa</t>
  </si>
  <si>
    <t>3.2.2.2.</t>
  </si>
  <si>
    <t xml:space="preserve">
R. Bakaitienė, 
K. Lūžaitė</t>
  </si>
  <si>
    <t>Augintinių skaičius, kuriems taikyta gyvūnų augintinių gausos reguliavimo programa</t>
  </si>
  <si>
    <t>3-1-1-3</t>
  </si>
  <si>
    <t>Buitinių nuotekų valymo įrenginių įrengimo kompensavimas</t>
  </si>
  <si>
    <t>3.1.1.83.</t>
  </si>
  <si>
    <t>R. Bakaitienė
K. Lūžaitė</t>
  </si>
  <si>
    <t>Gautų paraiškų skaičius, vnt.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</si>
  <si>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</si>
  <si>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</si>
  <si>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</si>
  <si>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 xml:space="preserve">Administruotos projekto baigiamosios veiklos, vnt. </t>
  </si>
  <si>
    <t>23</t>
  </si>
  <si>
    <t>6.3.3.24.29.</t>
  </si>
  <si>
    <t>3-1-2</t>
  </si>
  <si>
    <t>Atliekų tvarkymo sistemos organizavimas, prevencija, projektinė veikla</t>
  </si>
  <si>
    <t>3-1-2-1</t>
  </si>
  <si>
    <t>Atliekų tvarkymo sistemos organizavimas</t>
  </si>
  <si>
    <t>18.1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</si>
  <si>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</si>
  <si>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</si>
  <si>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</si>
  <si>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</si>
  <si>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</si>
  <si>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</si>
  <si>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KŪAS, R. Bakaitienė</t>
  </si>
  <si>
    <t>Išmokėta kompensacija už padangų išvežimą už 2025 m., proc.</t>
  </si>
  <si>
    <t>3-1-2-3</t>
  </si>
  <si>
    <t>Asbesto turinčių gaminių atliekų surinkimas apvažiavimo būdu, transportavimas ir saugus šalinimas</t>
  </si>
  <si>
    <t>3.2.2.18.</t>
  </si>
  <si>
    <t>KŪAS,
 K. Lūžaitė</t>
  </si>
  <si>
    <t>Surinkta asbesto gaminių, tonomis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</si>
  <si>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</si>
  <si>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</si>
  <si>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</si>
  <si>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</si>
  <si>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</si>
  <si>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AGL, A. Žilienė</t>
  </si>
  <si>
    <t>Prižiūrėti žalieji plotai, ha</t>
  </si>
  <si>
    <t>3.2.3.1.26</t>
  </si>
  <si>
    <t>3-1-3-2</t>
  </si>
  <si>
    <t>Gatvių ir žaliųjų plotų tvarkymas ir priežiūra  Dauparų-Kvietinių seniūnijoje</t>
  </si>
  <si>
    <t>3.2.3.2.26.</t>
  </si>
  <si>
    <t>DPRKV, seniūnas</t>
  </si>
  <si>
    <t>Dauparų-Kvietinių</t>
  </si>
  <si>
    <t>3-1-3-3</t>
  </si>
  <si>
    <t>Gatvių ir žaliųjų plotų tvarkymas ir priežiūra Dovilų seniūnijoje</t>
  </si>
  <si>
    <t>3.2.3.3.27.</t>
  </si>
  <si>
    <t>DOV. N. Ilginienė</t>
  </si>
  <si>
    <t xml:space="preserve">Prižiūrėta karjerų teritorija, vnt. </t>
  </si>
  <si>
    <t>3-1-3-4</t>
  </si>
  <si>
    <t>Gatvių ir žaliųjų plotų tvarkymas ir priežiūra Endriejavo seniūnijoje</t>
  </si>
  <si>
    <t>3.2.3.4.28.</t>
  </si>
  <si>
    <t>ENDR,  I.Grikšienė</t>
  </si>
  <si>
    <t>Priežiūrėti žalieji plotai, ha</t>
  </si>
  <si>
    <t>3-1-3-5</t>
  </si>
  <si>
    <t>Gatvių ir žaliųjų plotų tvarkymas ir priežiūra Gargždų seniūnijoje</t>
  </si>
  <si>
    <t>3.2.3.5.29.</t>
  </si>
  <si>
    <t>Gargždų seniūnija, A.Srėbalienė, N. Verbaitė</t>
  </si>
  <si>
    <t>3-1-3-6</t>
  </si>
  <si>
    <t>Gatvių ir žaliųjų plotų tvarkymas ir priežiūra Judrėnų seniūnijoje</t>
  </si>
  <si>
    <t>3.2.3.6.30.</t>
  </si>
  <si>
    <t>JDR, Z. Siminauskas</t>
  </si>
  <si>
    <t>3-1-3-7</t>
  </si>
  <si>
    <t>Gatvių ir žaliųjų plotų tvarkymas ir priežiūra Kretingalės seniūnijoje</t>
  </si>
  <si>
    <t>3.2.3.7.31.</t>
  </si>
  <si>
    <t>KRTG, A. Monstavičienė</t>
  </si>
  <si>
    <t>3-1-3-8</t>
  </si>
  <si>
    <t>Gatvių ir žaliųjų plotų tvarkymas ir priežiūra Priekulės seniūnijoje</t>
  </si>
  <si>
    <t>3.2.3.8.32.</t>
  </si>
  <si>
    <t>PRKL, D. Bliūdžiuvienė, R. Narkienė</t>
  </si>
  <si>
    <t>3-1-3-9</t>
  </si>
  <si>
    <t>Gatvių ir žaliųjų plotų tvarkymas ir priežiūra Sendvario seniūnijoje</t>
  </si>
  <si>
    <t>3.2.3.9.33.</t>
  </si>
  <si>
    <t>SND, G. Girdvainis</t>
  </si>
  <si>
    <t>3-1-3-10</t>
  </si>
  <si>
    <t>Gatvių ir žaliųjų plotų tvarkymas ir priežiūra Veiviržėnų seniūnijoje</t>
  </si>
  <si>
    <t>3.2.3.10.34.</t>
  </si>
  <si>
    <t>VEIV, R. Justa</t>
  </si>
  <si>
    <t>3-1-3-11</t>
  </si>
  <si>
    <t>Gatvių ir žaliųjų plotų tvarkymas ir priežiūra Vėžaičių seniūnijoje</t>
  </si>
  <si>
    <t>3.2.3.11.35.</t>
  </si>
  <si>
    <t>VĖŽ, R. Bernotas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</si>
  <si>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</si>
  <si>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</si>
  <si>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</si>
  <si>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</si>
  <si>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CB, V. Burokaitė</t>
  </si>
  <si>
    <t>LS</t>
  </si>
  <si>
    <t>27</t>
  </si>
  <si>
    <t>Sendvario seniūnija</t>
  </si>
  <si>
    <t xml:space="preserve">Atlikti Sendvario kolumbariumo įrengimo darbai, proc. </t>
  </si>
  <si>
    <t>6.3.4.1.29.</t>
  </si>
  <si>
    <t xml:space="preserve">Vykdomi darbai pagal techninį darbo projektą, vnt.
</t>
  </si>
  <si>
    <t>24</t>
  </si>
  <si>
    <t>6.3.4.1.30.</t>
  </si>
  <si>
    <t>Judrėnų seniūnija</t>
  </si>
  <si>
    <t>Atliktas tvoros remontas, vnt</t>
  </si>
  <si>
    <t>26</t>
  </si>
  <si>
    <t>6.3.4.1.32.</t>
  </si>
  <si>
    <t>Kapinių drenažo sistemos tvarkymas, vnt.</t>
  </si>
  <si>
    <t>28</t>
  </si>
  <si>
    <t>6.3.4.1.34.</t>
  </si>
  <si>
    <t>Veiviržėnų seniūnija</t>
  </si>
  <si>
    <t>Kapinių plėtros techniam projektui parengti 2026 m., vnt.</t>
  </si>
  <si>
    <t>29</t>
  </si>
  <si>
    <t>6.3.4.1.35.</t>
  </si>
  <si>
    <t xml:space="preserve">Vėžaičių seniūnija </t>
  </si>
  <si>
    <t xml:space="preserve">Civilinių kapinių tvoros remontas, vnt. </t>
  </si>
  <si>
    <t>6.3.4.1.25.</t>
  </si>
  <si>
    <t>Vanagų kapinių tvoros ir vartų įrengimas, vnt.</t>
  </si>
  <si>
    <t>3-1-3-13</t>
  </si>
  <si>
    <t>Gerinti vandens telkinių būklę, tvarkyti juos supančią aplinką</t>
  </si>
  <si>
    <t>3.2.1.9.</t>
  </si>
  <si>
    <t>20</t>
  </si>
  <si>
    <t>Dauparų-Kvietinių seniūnija</t>
  </si>
  <si>
    <t xml:space="preserve">Apmokėtos sulaikytos lėšos, proc. 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</si>
  <si>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</si>
  <si>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</si>
  <si>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</si>
  <si>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</si>
  <si>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</si>
  <si>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</si>
  <si>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7.5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</si>
  <si>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</si>
  <si>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</si>
  <si>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</si>
  <si>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</si>
  <si>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</si>
  <si>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4-1-1-8</t>
  </si>
  <si>
    <t>Sveikos gyvensenos kultūros gyventojams formavimas</t>
  </si>
  <si>
    <t>4.1.1.2.</t>
  </si>
  <si>
    <t>SSAS, M. Vaitilavičienė</t>
  </si>
  <si>
    <t>Vykdytų veiklų skaičius, vnt.</t>
  </si>
  <si>
    <t>4-1-1-12</t>
  </si>
  <si>
    <t xml:space="preserve">Sveikatos centro veiklos modelio diegimas Klaipėdos rajono savivaldybėje </t>
  </si>
  <si>
    <t>4.1.2.14.</t>
  </si>
  <si>
    <t>ES projekto šeimos gydytojo komandos plėtrai įgyvendinimas, vnt.</t>
  </si>
  <si>
    <t>4-1-1-13</t>
  </si>
  <si>
    <t>Narkotikų kontrolės prevencijos užtikrinimo programa</t>
  </si>
  <si>
    <t>4.1.2.12.</t>
  </si>
  <si>
    <t>T. Stonkė</t>
  </si>
  <si>
    <t>Prevencinių renginių skaičius, vnt.</t>
  </si>
  <si>
    <t> </t>
  </si>
  <si>
    <t>4-1-1-15</t>
  </si>
  <si>
    <t>Metų medicinos darbuotojo premija ir apdovanojimų ceremonija</t>
  </si>
  <si>
    <t>4.1.1.15</t>
  </si>
  <si>
    <t>SSAS</t>
  </si>
  <si>
    <t>Metų medicinos darbuotojo konkurso organizavimas, vnt.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</si>
  <si>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</si>
  <si>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</si>
  <si>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</si>
  <si>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</si>
  <si>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7.10</t>
  </si>
  <si>
    <t>4.3.2.4.</t>
  </si>
  <si>
    <t>4-1-2-2</t>
  </si>
  <si>
    <t xml:space="preserve">Paramos gydytojams-specialistams dalinis finansavimas </t>
  </si>
  <si>
    <t>4.2.1.12.</t>
  </si>
  <si>
    <t>SSAS, 
G. Jonušavičienė</t>
  </si>
  <si>
    <t xml:space="preserve">Paramą gavusių specialistų, sk. </t>
  </si>
  <si>
    <t>4-1-2-3</t>
  </si>
  <si>
    <t>Sveikatos įstaigų darbuotojų kelionės kompensavimas</t>
  </si>
  <si>
    <t>7.2</t>
  </si>
  <si>
    <t>4.1.3.8.</t>
  </si>
  <si>
    <t>7.3</t>
  </si>
  <si>
    <t>7.4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</si>
  <si>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</si>
  <si>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</si>
  <si>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</si>
  <si>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</si>
  <si>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</si>
  <si>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</si>
  <si>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4-1-2-7</t>
  </si>
  <si>
    <t>Sveikatos centro sukūrimas Klaipėdos rajono savivaldybėje</t>
  </si>
  <si>
    <t>4.2.1.29.</t>
  </si>
  <si>
    <t>SSAS, G. Domarkė</t>
  </si>
  <si>
    <t>Įsigytos ir atnaujintos įrangos skaičius, vnt.</t>
  </si>
  <si>
    <t>7.3.</t>
  </si>
  <si>
    <t>7.4.</t>
  </si>
  <si>
    <t>4-1-2-9</t>
  </si>
  <si>
    <t>Palaikomojo gydymo  ir slaugos paslaugų modernizavimas Klaipėdos rajono savivaldybėje</t>
  </si>
  <si>
    <t>4.2.1.31.</t>
  </si>
  <si>
    <t xml:space="preserve">Modernizuotų palatų skaičius, vnt. </t>
  </si>
  <si>
    <t>4-1-2-10</t>
  </si>
  <si>
    <t>Projekto "Sveikatos centro specialistų rengimas, pritraukimas Klaipėdos rajono savivaldybėje" įgyvendinimas</t>
  </si>
  <si>
    <t>4.1.2.15.</t>
  </si>
  <si>
    <t xml:space="preserve">ES projekto medikų kvalifikacijos kėlimui ir kitoms motyvacinėms priemonėms vykdymas, vnt. 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</si>
  <si>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</si>
  <si>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</si>
  <si>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</si>
  <si>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</si>
  <si>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</si>
  <si>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</si>
  <si>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 xml:space="preserve">SSAS </t>
  </si>
  <si>
    <t>VBM(UK)</t>
  </si>
  <si>
    <t>R. Stonkienė</t>
  </si>
  <si>
    <t>Parengtos ataskaitos, vnt.</t>
  </si>
  <si>
    <t>5-1-1-2</t>
  </si>
  <si>
    <t xml:space="preserve">Finansinės pagalbos teikimas </t>
  </si>
  <si>
    <t>5.1.1.3.</t>
  </si>
  <si>
    <t>D. Beržanskytė-Bučinskienė</t>
  </si>
  <si>
    <t>Nagrinėtų gyventojų prašymų atvejai, teikti svarstyti Socialinės paramos teikimo komisijai, vnt.</t>
  </si>
  <si>
    <t>Parengti įsakymų projektai, vnt.</t>
  </si>
  <si>
    <t>5-1-1-3</t>
  </si>
  <si>
    <t>Pagalbos pinigų mokėjimas</t>
  </si>
  <si>
    <t>5.1.1.8.</t>
  </si>
  <si>
    <t>Gavėjų skaičius, vnt.</t>
  </si>
  <si>
    <t>5-1-1-4</t>
  </si>
  <si>
    <t>Individualios pagalbos teikimo išlaidų kompensacijų mokėjimas</t>
  </si>
  <si>
    <t>5.1.1.4.</t>
  </si>
  <si>
    <t xml:space="preserve"> G. Rekašienė, </t>
  </si>
  <si>
    <t>Teisės aktų nustatyta tvarka skirtų mokėti  šalpos išmokų panaudotos lėšos, proc.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</si>
  <si>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</si>
  <si>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</si>
  <si>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</si>
  <si>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R. Stonkienė,</t>
  </si>
  <si>
    <t>Teisės aktų nustatyta tvarka skirtų mokėti socialinių pašalpų bei kompensacijų panaudotos lėšos, proc.</t>
  </si>
  <si>
    <t xml:space="preserve"> L. Bakšinskienė</t>
  </si>
  <si>
    <t>L. Pocienė</t>
  </si>
  <si>
    <t>D. Skiotienė</t>
  </si>
  <si>
    <t>5-1-1-6</t>
  </si>
  <si>
    <t>Socialinė parama mokiniams (maitinimui, priemonėms)</t>
  </si>
  <si>
    <t>5.1.2.9</t>
  </si>
  <si>
    <t>Parengta ataskaitų, vnt.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</si>
  <si>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</si>
  <si>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</si>
  <si>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</si>
  <si>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</si>
  <si>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D. Beržanskytė- Bučinskienė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</si>
  <si>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</si>
  <si>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</si>
  <si>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</si>
  <si>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</si>
  <si>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</si>
  <si>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</si>
  <si>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</si>
  <si>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</si>
  <si>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S. Budrė</t>
  </si>
  <si>
    <t>Nagrinėti gyventojų prašymai, vnt.</t>
  </si>
  <si>
    <t>Finansuotų būstų pritaikymo išlaidų gavėjų skaičius, vnt.</t>
  </si>
  <si>
    <t>5-1-2-3</t>
  </si>
  <si>
    <t>Neveiksnių asmenų būklės peržiūrėjimo užtikrinimas</t>
  </si>
  <si>
    <t>5.1.2.19.</t>
  </si>
  <si>
    <t xml:space="preserve"> J. Papievienė</t>
  </si>
  <si>
    <t>Finansuoti komisijos darbą, pervestos lėšos, proc.</t>
  </si>
  <si>
    <t>5-1-2-4</t>
  </si>
  <si>
    <t>Laikino atokvėpio paslaugos organizavimas</t>
  </si>
  <si>
    <t>5.1.2.39.</t>
  </si>
  <si>
    <t>L. Virkutienė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</si>
  <si>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</si>
  <si>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</si>
  <si>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</si>
  <si>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7.7</t>
  </si>
  <si>
    <t>7.8</t>
  </si>
  <si>
    <t>7.6</t>
  </si>
  <si>
    <t>7.9</t>
  </si>
  <si>
    <t>5-2-1-7</t>
  </si>
  <si>
    <t>Socialinių paslaugų įstaigų elektros, šilumos ir kuro išlaidų finansavimas</t>
  </si>
  <si>
    <t>5.1.2.27.</t>
  </si>
  <si>
    <t xml:space="preserve">R. Gabrilavičius </t>
  </si>
  <si>
    <t>Apmokėti socialinių paslaugų įstaigų elektros ir kuro išlaidas, panaudotos lėšos, proc.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</si>
  <si>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</si>
  <si>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</si>
  <si>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</si>
  <si>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 xml:space="preserve"> I.Gailienė</t>
  </si>
  <si>
    <t>Socialinėms įstaigoms skirtų lėšų  pagal poreikį patalpų remontui, prekėms ir turtui įsigyti panaudojimas, proc.</t>
  </si>
  <si>
    <t>16.1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</si>
  <si>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</si>
  <si>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</si>
  <si>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</si>
  <si>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</si>
  <si>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</si>
  <si>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I. Gailienė, S. Paulienė,
J. Papievienė,  L.Virkutienė,
S. Tverskienė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</si>
  <si>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</si>
  <si>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</si>
  <si>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</si>
  <si>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5-2-2-2</t>
  </si>
  <si>
    <t>Socialinės reabilitacijos paslaugų neįgaliesiems  finansavimas</t>
  </si>
  <si>
    <t>5.1.2.15.</t>
  </si>
  <si>
    <t>Akredituotos socialinės reabilitacijos paslaugų neįgaliesiems teikėjų skaičius, vnt.</t>
  </si>
  <si>
    <t>Akredituotos socialinės reabilitacijos paslaugų neįgaliesiems gavėjų skaičius, vnt.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</si>
  <si>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</si>
  <si>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</si>
  <si>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</si>
  <si>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</si>
  <si>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</si>
  <si>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</si>
  <si>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</si>
  <si>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</si>
  <si>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</si>
  <si>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G. Domarkė</t>
  </si>
  <si>
    <t>5-2-2-6</t>
  </si>
  <si>
    <t>Asmeninės pagalbos neįgaliems asmenims organizavimas</t>
  </si>
  <si>
    <t>5.1.2.29</t>
  </si>
  <si>
    <t>J. Papievienė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</si>
  <si>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</si>
  <si>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</si>
  <si>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</si>
  <si>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</si>
  <si>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</si>
  <si>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</si>
  <si>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</si>
  <si>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</si>
  <si>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</si>
  <si>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Paslaugų suteikimo skaičius, vnt.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</si>
  <si>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</si>
  <si>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</si>
  <si>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</si>
  <si>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</si>
  <si>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</si>
  <si>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 xml:space="preserve"> I. Vytienė</t>
  </si>
  <si>
    <t>Socialinių būstų, kurių būklė pagerinta, skaičius, vnt.</t>
  </si>
  <si>
    <t>Asmenys, kuriems suteiktas socialinis būstas, vnt.</t>
  </si>
  <si>
    <t>5-2-3-2</t>
  </si>
  <si>
    <t>Socialinio būsto plėtra</t>
  </si>
  <si>
    <t>5.1.3.14</t>
  </si>
  <si>
    <t>I. Gailienė</t>
  </si>
  <si>
    <t>Įgytų būstų skaičius, vnt.</t>
  </si>
  <si>
    <t>5-2-3-3</t>
  </si>
  <si>
    <t>Kompleksinių paslaugų centras vaikams su negalia</t>
  </si>
  <si>
    <t>5.1.3.15.</t>
  </si>
  <si>
    <t>5-2-3-4</t>
  </si>
  <si>
    <t>Socialinių dirbtuvių steigimas 15 asmenų Gargžduose</t>
  </si>
  <si>
    <t>5.1.3.16.</t>
  </si>
  <si>
    <t xml:space="preserve">Atlikta remonto, rangos darbų, proc. 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</si>
  <si>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</si>
  <si>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</si>
  <si>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</si>
  <si>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</si>
  <si>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</si>
  <si>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</si>
  <si>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Nupirkti projektavimo darbai, vnt.</t>
  </si>
  <si>
    <t>5-2-3-9</t>
  </si>
  <si>
    <t>Sendvario seniūnijos viešųjų paslaugų centro kūrimas</t>
  </si>
  <si>
    <t>2, 9</t>
  </si>
  <si>
    <t xml:space="preserve">9.1.1.22. </t>
  </si>
  <si>
    <t>Atliktas architektūrinio konkurso organizavimas, vnt.</t>
  </si>
  <si>
    <t>5-3 Uždavinys: Didinti Klaipėdos rajono gyventojų užimtumą ir ekonominį aktyvumą</t>
  </si>
  <si>
    <t>5-3-1</t>
  </si>
  <si>
    <t>Užimtumo didinimo programos vykdymas</t>
  </si>
  <si>
    <t>5.2.1.2.</t>
  </si>
  <si>
    <t>Vykdant  Užimtumo didinimo  programą įdarbinti bedarbiai, asmenų skaičius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</si>
  <si>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</si>
  <si>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</si>
  <si>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</si>
  <si>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</si>
  <si>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</si>
  <si>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</si>
  <si>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</si>
  <si>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</si>
  <si>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</si>
  <si>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</si>
  <si>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</si>
  <si>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5-4 Uždavinys: Bendradarbiauti su vietos bendruomene, siekiant efektyviau tenkinti viešąjį interesą</t>
  </si>
  <si>
    <t>5-4-1</t>
  </si>
  <si>
    <t>Skatinti nevyriausybinių organizacijų veiklą</t>
  </si>
  <si>
    <t>J. Dobrovolskienė</t>
  </si>
  <si>
    <t xml:space="preserve">Sudarytų sutarčių su bendruomenėmis ir NVO, kurių paraiškos atrinktos finansavimui gauti  ISS skaičius, vnt. 
Surinktų ataskaitų skaičius, vnt.
</t>
  </si>
  <si>
    <t>43
43</t>
  </si>
  <si>
    <t>5-4-1-1</t>
  </si>
  <si>
    <t>Klaipėdos r. savivaldybės ir nevyriausybinių organizacijų bendradarbiavimas</t>
  </si>
  <si>
    <t>9.4.3.1</t>
  </si>
  <si>
    <t>Sudarytų sutarčių su bendruomenėmis, gavusiomis finansavimą iš išorės šaltinių, skaičius, vnt.</t>
  </si>
  <si>
    <t>NVO ir BO tarybų veiklos planų koordinavimas, įgyvendintų priemonių skaičius, vnt.</t>
  </si>
  <si>
    <t>5-4-1-2</t>
  </si>
  <si>
    <t>Klaipėdos r. gyvenamųjų vietovių bendruomenių rėmimo programos įgyvendinimas</t>
  </si>
  <si>
    <t>9.4.3.2</t>
  </si>
  <si>
    <t>Sudarytų sutarčių skaičius, vnt.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</si>
  <si>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</si>
  <si>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</si>
  <si>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</si>
  <si>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 xml:space="preserve">Sudarytų sutarčių, papildomų susitarimų skaičius, vnt.
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</si>
  <si>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</si>
  <si>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</si>
  <si>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</si>
  <si>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</si>
  <si>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</si>
  <si>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</si>
  <si>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 xml:space="preserve">Analizės ir tyrimo parengimas bei veiksmų plano sudarymas (rinkinys), vnt.          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</si>
  <si>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</si>
  <si>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</si>
  <si>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</si>
  <si>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</si>
  <si>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</si>
  <si>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</si>
  <si>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</si>
  <si>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</si>
  <si>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</si>
  <si>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</si>
  <si>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</si>
  <si>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</si>
  <si>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</si>
  <si>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</si>
  <si>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</si>
  <si>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</si>
  <si>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</si>
  <si>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</si>
  <si>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</si>
  <si>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</si>
  <si>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</si>
  <si>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</si>
  <si>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</si>
  <si>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</si>
  <si>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</si>
  <si>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</si>
  <si>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Gargždų seniūnija,
 V. Žigus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</si>
  <si>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</si>
  <si>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</si>
  <si>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</si>
  <si>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</si>
  <si>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</si>
  <si>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</si>
  <si>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</si>
  <si>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</si>
  <si>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</si>
  <si>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</si>
  <si>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</si>
  <si>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</si>
  <si>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</si>
  <si>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</si>
  <si>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</si>
  <si>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Sendvario sen., 
G. Girdvainis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</si>
  <si>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</si>
  <si>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</si>
  <si>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</si>
  <si>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</si>
  <si>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</si>
  <si>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</si>
  <si>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</si>
  <si>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</si>
  <si>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</si>
  <si>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</si>
  <si>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</si>
  <si>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</si>
  <si>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</si>
  <si>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</si>
  <si>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</si>
  <si>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</si>
  <si>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A. Indzelė, G. Jurjonė, A. Daukantienė, 
Š. Čičinis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</si>
  <si>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</si>
  <si>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</si>
  <si>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</si>
  <si>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</si>
  <si>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</si>
  <si>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</si>
  <si>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</si>
  <si>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V. Ramanauskas</t>
  </si>
  <si>
    <t>Sumokėtos sulaikytos lėšos, vnt.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</si>
  <si>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</si>
  <si>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</si>
  <si>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</si>
  <si>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Įvykdyti papildomi rangos darbai, proc.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</si>
  <si>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</si>
  <si>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</si>
  <si>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</si>
  <si>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A. Ronkus, F. Žemgulys</t>
  </si>
  <si>
    <t xml:space="preserve">Parengtas pėsčiųjų/dviračių takų techninis projektas, vnt.
</t>
  </si>
  <si>
    <t xml:space="preserve">1
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</si>
  <si>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</si>
  <si>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</si>
  <si>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</si>
  <si>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V. Viršilas</t>
  </si>
  <si>
    <t>Atlikti baigiamieji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</si>
  <si>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</si>
  <si>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</si>
  <si>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</si>
  <si>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</si>
  <si>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</si>
  <si>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</si>
  <si>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</si>
  <si>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</si>
  <si>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</si>
  <si>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</si>
  <si>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Įvykdyti rangos darbai, proc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</si>
  <si>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</si>
  <si>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</si>
  <si>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</si>
  <si>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Gautas staybą leidžiantis dokumentas, vnt.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</si>
  <si>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</si>
  <si>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</si>
  <si>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</si>
  <si>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E. Vasylienė</t>
  </si>
  <si>
    <t>6-2-1-13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</si>
  <si>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</si>
  <si>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6.1.1.47.</t>
  </si>
  <si>
    <t>Įvykdyti projektavimo darbai, vnt.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</si>
  <si>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</si>
  <si>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</si>
  <si>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</si>
  <si>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Įvykdyti baigiamieji rangos darbai, proc.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</si>
  <si>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</si>
  <si>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</si>
  <si>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</si>
  <si>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</si>
  <si>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</si>
  <si>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</si>
  <si>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</si>
  <si>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</si>
  <si>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</si>
  <si>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Įsigyti rangos darbai, vnt.</t>
  </si>
  <si>
    <t>6-2-1-22</t>
  </si>
  <si>
    <t>Plikių mokyklos automobilių stovėjimo aikštelės įrengimas</t>
  </si>
  <si>
    <t>6.4.1.38.</t>
  </si>
  <si>
    <t>Įvykdyti rangos darbai, proc.</t>
  </si>
  <si>
    <t>6-2-1-23</t>
  </si>
  <si>
    <t>Automobilių aikštelės prie stovyklavietės "Pasaka" Kukuliškių k. projekto parengimas ir įrengimas</t>
  </si>
  <si>
    <t>6.4.1.39.</t>
  </si>
  <si>
    <t>J. Blinstrubienė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</si>
  <si>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</si>
  <si>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</si>
  <si>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</si>
  <si>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</si>
  <si>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</si>
  <si>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</si>
  <si>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</si>
  <si>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</si>
  <si>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</si>
  <si>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</si>
  <si>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</si>
  <si>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</si>
  <si>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</si>
  <si>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</si>
  <si>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</si>
  <si>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</si>
  <si>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</si>
  <si>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</si>
  <si>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</si>
  <si>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Atlikti rangos darbai, proc.
Atnaujinti keliai ir gatvės, km</t>
  </si>
  <si>
    <t>100
3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</si>
  <si>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</si>
  <si>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</si>
  <si>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</si>
  <si>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</si>
  <si>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</si>
  <si>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</si>
  <si>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</si>
  <si>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</si>
  <si>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</si>
  <si>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</si>
  <si>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</si>
  <si>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</si>
  <si>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</si>
  <si>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</si>
  <si>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</si>
  <si>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</si>
  <si>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</si>
  <si>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</si>
  <si>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</si>
  <si>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</si>
  <si>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</si>
  <si>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</si>
  <si>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</si>
  <si>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Baigti rangos darbai, proc.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</si>
  <si>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</si>
  <si>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</si>
  <si>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</si>
  <si>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Gautas statybą leidžiantis dokumentas, vnt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</si>
  <si>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</si>
  <si>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</si>
  <si>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</si>
  <si>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</si>
  <si>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</si>
  <si>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</si>
  <si>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</si>
  <si>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</si>
  <si>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</si>
  <si>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</si>
  <si>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</si>
  <si>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</si>
  <si>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</si>
  <si>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</si>
  <si>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</si>
  <si>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</si>
  <si>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</si>
  <si>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</si>
  <si>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</si>
  <si>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</si>
  <si>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</si>
  <si>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</si>
  <si>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</si>
  <si>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</si>
  <si>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</si>
  <si>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</si>
  <si>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</si>
  <si>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</si>
  <si>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</si>
  <si>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Suprojektuotas privažiavimas prie sklypų, vnt.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</si>
  <si>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</si>
  <si>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</si>
  <si>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</si>
  <si>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</si>
  <si>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</si>
  <si>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</si>
  <si>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</si>
  <si>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</si>
  <si>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</si>
  <si>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</si>
  <si>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</si>
  <si>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</si>
  <si>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</si>
  <si>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</si>
  <si>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</si>
  <si>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</si>
  <si>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</si>
  <si>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</si>
  <si>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</si>
  <si>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</si>
  <si>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</si>
  <si>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</si>
  <si>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</si>
  <si>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</si>
  <si>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</si>
  <si>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</si>
  <si>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</si>
  <si>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</si>
  <si>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</si>
  <si>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</si>
  <si>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</si>
  <si>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</si>
  <si>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</si>
  <si>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</si>
  <si>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</si>
  <si>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</si>
  <si>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</si>
  <si>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</si>
  <si>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</si>
  <si>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</si>
  <si>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</si>
  <si>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</si>
  <si>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</si>
  <si>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</si>
  <si>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</si>
  <si>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</si>
  <si>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</si>
  <si>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</si>
  <si>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</si>
  <si>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</si>
  <si>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</si>
  <si>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</si>
  <si>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</si>
  <si>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</si>
  <si>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</si>
  <si>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</si>
  <si>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Gargždų seniūnija, 
V. Žigus</t>
  </si>
  <si>
    <t>Prižiūrėti šviesoforai, vnt.</t>
  </si>
  <si>
    <t>Rekonstrukcija Klaipėdos ir Basanavičiaus g.</t>
  </si>
  <si>
    <t>6-2-3-3</t>
  </si>
  <si>
    <t>Automobilių stovėjimo rinkliavos rinkimo ir administravimo paslaugos vykdymas</t>
  </si>
  <si>
    <t>6.1.1.38.</t>
  </si>
  <si>
    <t>G. Bajorinienė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</si>
  <si>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</si>
  <si>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</si>
  <si>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</si>
  <si>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</si>
  <si>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</si>
  <si>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</si>
  <si>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</si>
  <si>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6-3-1-4</t>
  </si>
  <si>
    <t>Autobusų stotelių ir pesčiųjų perėjų projektavimas ir įrengimas Klaipėdos rajone (prie AB "VIA Lietuva" kelių)</t>
  </si>
  <si>
    <t>6.4.1.46.</t>
  </si>
  <si>
    <t xml:space="preserve">Įrengtos stotelės, vnt. 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</si>
  <si>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</si>
  <si>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</si>
  <si>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</si>
  <si>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</si>
  <si>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</si>
  <si>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</si>
  <si>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</si>
  <si>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</si>
  <si>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A. Vaitkė</t>
  </si>
  <si>
    <t>Prižiūrimos esamos stotelės, vnt.</t>
  </si>
  <si>
    <t>6-3-2-2</t>
  </si>
  <si>
    <t>Gargždų autobusų stoties didelio galingumo stotelių įrengimas</t>
  </si>
  <si>
    <t xml:space="preserve">Gargždų </t>
  </si>
  <si>
    <t>6-3-2-3</t>
  </si>
  <si>
    <t>Elektromobilių įkrovimo stotelės įrengimas Placio g., Karklės k.</t>
  </si>
  <si>
    <t>Įrengta didelio galingumo pakrovimo stotelė, vnt.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</si>
  <si>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</si>
  <si>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</si>
  <si>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</si>
  <si>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</si>
  <si>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</si>
  <si>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</si>
  <si>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</si>
  <si>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</si>
  <si>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</si>
  <si>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</si>
  <si>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</si>
  <si>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</si>
  <si>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</si>
  <si>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</si>
  <si>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</si>
  <si>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</si>
  <si>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</si>
  <si>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</si>
  <si>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</si>
  <si>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</si>
  <si>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</si>
  <si>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</si>
  <si>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</si>
  <si>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</si>
  <si>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</si>
  <si>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</si>
  <si>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</si>
  <si>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</si>
  <si>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</si>
  <si>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</si>
  <si>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</si>
  <si>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</si>
  <si>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</si>
  <si>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</si>
  <si>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</si>
  <si>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</si>
  <si>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</si>
  <si>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</si>
  <si>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</si>
  <si>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</si>
  <si>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</si>
  <si>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</si>
  <si>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</si>
  <si>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</si>
  <si>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</si>
  <si>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</si>
  <si>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</si>
  <si>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</si>
  <si>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</si>
  <si>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</si>
  <si>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</si>
  <si>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G. Girdvainis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</si>
  <si>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</si>
  <si>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</si>
  <si>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</si>
  <si>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</si>
  <si>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</si>
  <si>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</si>
  <si>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</si>
  <si>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</si>
  <si>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</si>
  <si>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</si>
  <si>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</si>
  <si>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</si>
  <si>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</si>
  <si>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</si>
  <si>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K. Stulpinienė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</si>
  <si>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</si>
  <si>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</si>
  <si>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</si>
  <si>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</si>
  <si>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</si>
  <si>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</si>
  <si>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R. Rudgalvienė</t>
  </si>
  <si>
    <t>Kompensuoti vežėjų nuostoliai, proc.</t>
  </si>
  <si>
    <t>6-5-2-3</t>
  </si>
  <si>
    <t>Autobusų paviljonų įrengimas Klaipėdos rajone</t>
  </si>
  <si>
    <t>6.3.3.3.</t>
  </si>
  <si>
    <t xml:space="preserve">Pastatyti paviljonai, vnt. </t>
  </si>
  <si>
    <t>6-5-2-4</t>
  </si>
  <si>
    <t>Projektas "Integruotos viešojo transporto sistemos diegimas Klaipėdos rajone"</t>
  </si>
  <si>
    <t>6.3.3.4.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</si>
  <si>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</si>
  <si>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</si>
  <si>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</si>
  <si>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</si>
  <si>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</si>
  <si>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</si>
  <si>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</si>
  <si>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</si>
  <si>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</si>
  <si>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</si>
  <si>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</si>
  <si>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</si>
  <si>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</si>
  <si>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</si>
  <si>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A. Ronkus,
V. Valantinas,
J. Jackus</t>
  </si>
  <si>
    <t>Įrengtas Gargždų Melioratorių g. (KL7030), Janonio g.,  Kastyčio g. (KL7032), Vingio g., Smėlio g. dviračių ir pėsčiųjų takas, km</t>
  </si>
  <si>
    <t>Atliktas Kuršlaukio g., Gargždų m. dviračių tako remontas, km</t>
  </si>
  <si>
    <t>6-5-4-3</t>
  </si>
  <si>
    <t>Klaipėdos rajono dviračių ir pėsčiųjų takų infrastruktūros atnaujinimas, remontas, plėtra</t>
  </si>
  <si>
    <t xml:space="preserve">6.1.4.21. </t>
  </si>
  <si>
    <t>Klaipėdos rajono dviračių ir pėsčiųjų takų projektavimo ir įrengimo darbai, vnt.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</si>
  <si>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</si>
  <si>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</si>
  <si>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</si>
  <si>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</si>
  <si>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</si>
  <si>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</si>
  <si>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</si>
  <si>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</si>
  <si>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</si>
  <si>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</si>
  <si>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Atlikti projektavimo darbai, vnt.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</si>
  <si>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</si>
  <si>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</si>
  <si>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</si>
  <si>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</si>
  <si>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</si>
  <si>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</si>
  <si>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9.2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</si>
  <si>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</si>
  <si>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</si>
  <si>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</si>
  <si>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</si>
  <si>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</si>
  <si>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>F. Žemgulys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</si>
  <si>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</si>
  <si>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</si>
  <si>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</si>
  <si>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</si>
  <si>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</si>
  <si>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</si>
  <si>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</si>
  <si>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</si>
  <si>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</si>
  <si>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</si>
  <si>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</si>
  <si>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</si>
  <si>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</si>
  <si>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</si>
  <si>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</si>
  <si>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Įrengti tinklai, proc.</t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</si>
  <si>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</si>
  <si>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</si>
  <si>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</si>
  <si>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</si>
  <si>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</si>
  <si>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</si>
  <si>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Vykdomi projektavimo ir statybos darbai, proc.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</si>
  <si>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</si>
  <si>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</si>
  <si>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</si>
  <si>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</si>
  <si>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</si>
  <si>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</si>
  <si>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</si>
  <si>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</si>
  <si>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</si>
  <si>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</si>
  <si>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</si>
  <si>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</si>
  <si>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</si>
  <si>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</si>
  <si>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</si>
  <si>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</si>
  <si>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6-6-2-2-10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</si>
  <si>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</si>
  <si>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</si>
  <si>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</si>
  <si>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</si>
  <si>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</si>
  <si>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</si>
  <si>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6-6-2-3-2</t>
  </si>
  <si>
    <t>Paviršinių nuotekų šalinimo tinklų įrengimas Ketvergių k. (I ir II projekto etapų įgyvendinimas)</t>
  </si>
  <si>
    <t>Atlikti ir įforminti darbai, proc.</t>
  </si>
  <si>
    <t>3.1.1.79.32.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</si>
  <si>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</si>
  <si>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</si>
  <si>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</si>
  <si>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</si>
  <si>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Atlikti statybos darbai, proc.</t>
  </si>
  <si>
    <t>6-6-2-3-9</t>
  </si>
  <si>
    <t>Paviršinių nuotekų šalinimo tinklų statyba Gargždų m. nuo Lakštingalų g. iki Minijos upės</t>
  </si>
  <si>
    <t>Įvykdyti statybos  darbai, proc.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</si>
  <si>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</si>
  <si>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</si>
  <si>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</si>
  <si>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</si>
  <si>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</si>
  <si>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</si>
  <si>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36, 9.1</t>
  </si>
  <si>
    <t>A. Indzelė, M. Kernagienė, R. Gudjonis</t>
  </si>
  <si>
    <t>Inventorizuotų ir įteisintų tinklų kiekis, km</t>
  </si>
  <si>
    <t>3.1.1.79.29.</t>
  </si>
  <si>
    <t>6-6-3</t>
  </si>
  <si>
    <t>Kompensacijos iniciatoriams už įrengtą savivaldybės infrastruktūrą, pagal savivaldybės infrastruktūros plėtros sutartis</t>
  </si>
  <si>
    <t>M. Kernagienė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</si>
  <si>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</si>
  <si>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</si>
  <si>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</si>
  <si>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</si>
  <si>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</si>
  <si>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</si>
  <si>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</si>
  <si>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VBM(KP)</t>
  </si>
  <si>
    <t>7-1 Uždavinys: Užtikrinti kultūros srities paslaugų teikimą</t>
  </si>
  <si>
    <t>7-1-1</t>
  </si>
  <si>
    <t>Teikti kultūros paslaugas Savivaldybės kultūros įstaigose</t>
  </si>
  <si>
    <t>8.4</t>
  </si>
  <si>
    <t>8.5</t>
  </si>
  <si>
    <t>8.7</t>
  </si>
  <si>
    <t>8.8</t>
  </si>
  <si>
    <t>8.2</t>
  </si>
  <si>
    <t>8.1</t>
  </si>
  <si>
    <t>8.3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</si>
  <si>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</si>
  <si>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</si>
  <si>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</si>
  <si>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</si>
  <si>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</si>
  <si>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</si>
  <si>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</si>
  <si>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</si>
  <si>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</si>
  <si>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</si>
  <si>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</si>
  <si>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</si>
  <si>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7-1-2-2</t>
  </si>
  <si>
    <t>Klaipėdos rajonui reikšmingų datų, įvykių, asmenybių įamžinimas</t>
  </si>
  <si>
    <t>7.1.2.20.</t>
  </si>
  <si>
    <t>J. Polekauskienė</t>
  </si>
  <si>
    <t>Barono Rene iniciatyvų įgyvendinimas Gargždų parke, vnt.</t>
  </si>
  <si>
    <t>7.1.2.20.29.</t>
  </si>
  <si>
    <t xml:space="preserve">Rene skvero sutvarkymo darbai (pabaigimas), vnt. </t>
  </si>
  <si>
    <t>7.1.2.20.32</t>
  </si>
  <si>
    <t>7.1.2.20.35.</t>
  </si>
  <si>
    <t>Vėžaičių seniūnija</t>
  </si>
  <si>
    <t xml:space="preserve">Volmerių kapavietės sutvarkymo projekto parengimas, vnt. </t>
  </si>
  <si>
    <t>7-1-2-3</t>
  </si>
  <si>
    <t>Klaipėdos rajono profesionalių menininkų rėmimo programa</t>
  </si>
  <si>
    <t>7.1.2.21.</t>
  </si>
  <si>
    <t xml:space="preserve">Įgyvendintų priemonių skaičius, vnt. 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</si>
  <si>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</si>
  <si>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</si>
  <si>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</si>
  <si>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</si>
  <si>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</si>
  <si>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</si>
  <si>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Paskirstytos lėšos įstaigoms turtui įsigyti, remontuoti, panaudotos lėšos proc.</t>
  </si>
  <si>
    <t>Klaipėdos rajono etninės kultūros centras</t>
  </si>
  <si>
    <t>Gargždų krašto muziejus</t>
  </si>
  <si>
    <t>BĮ Gargždų kultūros centras</t>
  </si>
  <si>
    <t>BĮ Kretingalės kultūros centras</t>
  </si>
  <si>
    <t>BĮ Priekulės meno ir kultūros centras</t>
  </si>
  <si>
    <t>BĮ Veiviržėnų kultūros centras</t>
  </si>
  <si>
    <t>BĮ Vėžaičių kultūros centras</t>
  </si>
  <si>
    <t>7-2-1-3</t>
  </si>
  <si>
    <t xml:space="preserve">Veiviržėnų kultūros centro pastato modernizavimas </t>
  </si>
  <si>
    <t>7.3.1.39.</t>
  </si>
  <si>
    <t>Vykdomi rangos darbai, proc.</t>
  </si>
  <si>
    <t>7-2-1-4</t>
  </si>
  <si>
    <t>Gargždų krašto muziejaus pastato projektavimas ir statyba</t>
  </si>
  <si>
    <t>7.3.1.40.</t>
  </si>
  <si>
    <t>Projekto parengimas (vnt.)</t>
  </si>
  <si>
    <t>7-2-1-5</t>
  </si>
  <si>
    <t>J. Lankučio viešosios bibliotekos filialų Purmalių k. projektavimas ir statyba</t>
  </si>
  <si>
    <t>7.3.1.41.</t>
  </si>
  <si>
    <t xml:space="preserve">Pastatytas konteinerių tipo pastatas bibliotekos filialui, vnt. </t>
  </si>
  <si>
    <t>7-2-1-7</t>
  </si>
  <si>
    <t>Vėžaičių miestelio centrinėje dalyje esančio pastato bei aikštės sutvarkymas ir įveiklinimas</t>
  </si>
  <si>
    <t>7.3.1.44.</t>
  </si>
  <si>
    <t>Sutvarkyta aikštė, vnt.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</si>
  <si>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</si>
  <si>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</si>
  <si>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</si>
  <si>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</si>
  <si>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</si>
  <si>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I. Sliužinskaitė</t>
  </si>
  <si>
    <t>Įgyvendintų projektų skaičius, vnt.</t>
  </si>
  <si>
    <t>7-3-2</t>
  </si>
  <si>
    <t>Premijų Klaipėdos rajonui nusipelniusiems ir pasižymėjusiems asmenims skyrimas</t>
  </si>
  <si>
    <t>7.4.1.2.</t>
  </si>
  <si>
    <t>J. Polekauskienė,
I. Sliužinskaitė</t>
  </si>
  <si>
    <t>Organizuotos premijų skyrimo ir įteikimo procedūros ir renginiai, vnt.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</si>
  <si>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</si>
  <si>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</si>
  <si>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</si>
  <si>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</si>
  <si>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</si>
  <si>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</si>
  <si>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</si>
  <si>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</si>
  <si>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S. Šmatauskienė</t>
  </si>
  <si>
    <t>Sutvarkytos Klaipėdos rajono senosios kapinės, vnt.</t>
  </si>
  <si>
    <t>7-4-1-1-2</t>
  </si>
  <si>
    <t>Senųjų kapinių ženklinimas</t>
  </si>
  <si>
    <t>Senųjų kapinių informacinių ženklų pagaminimas ir įrengimas, vnt.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</si>
  <si>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</si>
  <si>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</si>
  <si>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</si>
  <si>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</si>
  <si>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</si>
  <si>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</si>
  <si>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</si>
  <si>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Sutvarkytas Vėžaičių KC pastato stogas, vnt.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</si>
  <si>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</si>
  <si>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</si>
  <si>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</si>
  <si>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</si>
  <si>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</si>
  <si>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</si>
  <si>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Suremontuotas memorialas, vnt.</t>
  </si>
  <si>
    <t>7-4-1-2-6</t>
  </si>
  <si>
    <t>Gargždų pėsčiųjų viaduko tyrimai, tvarkybos darbų projekto parengimas ir įgyvendinimas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</si>
  <si>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</si>
  <si>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7-4-1-2-8</t>
  </si>
  <si>
    <t xml:space="preserve">Šernų tilto sutvarkymas 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</si>
  <si>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</si>
  <si>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7-4-1-4</t>
  </si>
  <si>
    <t>Kultūros paveldo statinių tvarkymo darbų dalinis finansavimas</t>
  </si>
  <si>
    <t>7.5.1.56.</t>
  </si>
  <si>
    <t xml:space="preserve">S. Šmatauskienė </t>
  </si>
  <si>
    <t xml:space="preserve">Finansuotų paraiškų skaičius, vnt. </t>
  </si>
  <si>
    <t>7-4-1-5</t>
  </si>
  <si>
    <t>Piliakalnių pritaikymo turizmo ir visuomenės poreikiams įgyvendinimas</t>
  </si>
  <si>
    <t>7.5.1.68.</t>
  </si>
  <si>
    <t xml:space="preserve">
S. Šmatauskienė</t>
  </si>
  <si>
    <t>7-4-1-5-1</t>
  </si>
  <si>
    <t xml:space="preserve">Veiviržėnų piliakalnio sutvarkymas ir pritaikymas </t>
  </si>
  <si>
    <t>Įvykdyti tvarkybos ir tvarkomieji statybos darbai, proc.</t>
  </si>
  <si>
    <t>7-4-1-5-2</t>
  </si>
  <si>
    <t>Eketės piliakalnio sutvarkymas ir pritaikymas (projekto parengimas)</t>
  </si>
  <si>
    <t>Parengtas Eketės piliakalnio sutvarkymo ir pritaikymo projektas, vnt.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</si>
  <si>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</si>
  <si>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</si>
  <si>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</si>
  <si>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</si>
  <si>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</si>
  <si>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Parengta apskaitos, tyrimų dokumentų, vnt.</t>
  </si>
  <si>
    <t>7-4-1-6-2</t>
  </si>
  <si>
    <t>Savivaldybės nekilnojamojo kultūros paveldo vertinimo tarybos veiklos organizavimas</t>
  </si>
  <si>
    <t xml:space="preserve"> Vertinimo tarybos posėdžių skaičius, vnt.</t>
  </si>
  <si>
    <t>7-4-1-6-3</t>
  </si>
  <si>
    <t>Europos paveldo dienų organizavimas</t>
  </si>
  <si>
    <t>Suorganizuota Europos paveldo dienų renginių, vnt.</t>
  </si>
  <si>
    <t>7-4-1-6-4</t>
  </si>
  <si>
    <t>Detalieji archeologiniai tyrimai Kukuliškių piliakalnyje</t>
  </si>
  <si>
    <t>Atlikti archeologiniai tyrimai, vnt.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</si>
  <si>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</si>
  <si>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</si>
  <si>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</si>
  <si>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</si>
  <si>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</si>
  <si>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</si>
  <si>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</si>
  <si>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</si>
  <si>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</si>
  <si>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Įvykdyti tvarkybos darbai, proc.</t>
  </si>
  <si>
    <t>7-4-2-1-2</t>
  </si>
  <si>
    <t>Koplytėlių/koplytstulpių atnaujinimas</t>
  </si>
  <si>
    <t>Atnaujintos koplytėlės/koplytstulpiai, vnt.</t>
  </si>
  <si>
    <t>7-4-2-1-3</t>
  </si>
  <si>
    <t>Skulptūros atnaujinimas Veiviržėnų senosiose kapinėse</t>
  </si>
  <si>
    <t>7.5.1.71.34.</t>
  </si>
  <si>
    <t>Atnaujinta skulptūra, vnt.</t>
  </si>
  <si>
    <t>SB (ES)</t>
  </si>
  <si>
    <t>8-1 Uždavinys: Plėtoti sporto paslaugas ir vykdyti aktyvią sporto politiką</t>
  </si>
  <si>
    <t>11.24</t>
  </si>
  <si>
    <t>8-1-3</t>
  </si>
  <si>
    <t>Sportininkų, reprezentuojančių Klaipėdos rajono savivaldybę aukšto meistriškumo sporto varžybose, finansavimo programa</t>
  </si>
  <si>
    <t>8.1.2.9.</t>
  </si>
  <si>
    <t>ŠSS, 
U. Tamošauskienė</t>
  </si>
  <si>
    <t xml:space="preserve">Sudaryta sutarčių, vnt.
</t>
  </si>
  <si>
    <t>Surinktų ataskaitų skaičius, vnt.</t>
  </si>
  <si>
    <t>8-1-4</t>
  </si>
  <si>
    <t>Jaunųjų futbolininkų ugdymo programos įgyvendinimas</t>
  </si>
  <si>
    <t>11.25</t>
  </si>
  <si>
    <t>8.1.2.10.</t>
  </si>
  <si>
    <t>8-1-5</t>
  </si>
  <si>
    <t>Klaipėdos krašto buriavimo sporto mokyklos „Žiemys“ ugdymo programos įgyvendinimas</t>
  </si>
  <si>
    <t>11.26</t>
  </si>
  <si>
    <t>8.1.2.11.</t>
  </si>
  <si>
    <t>8-1-7</t>
  </si>
  <si>
    <t>Sporto renginių finansavimas Klaipėdos rajone</t>
  </si>
  <si>
    <t>8.1.2.15.</t>
  </si>
  <si>
    <t xml:space="preserve">Finansuotų sporto renginių skaičius </t>
  </si>
  <si>
    <t>8-2 Uždavinys: Plėtoti fizinio aktyvumo veikloms palankią infrastruktūrą</t>
  </si>
  <si>
    <t>8-2-1</t>
  </si>
  <si>
    <t>Sporto ir laisvalaikio infrastruktūros priežiūra ir plėtra Klaipėdos rajone</t>
  </si>
  <si>
    <t>VšĮ „Gargždų futbolas“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</si>
  <si>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</si>
  <si>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</si>
  <si>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</si>
  <si>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</si>
  <si>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</si>
  <si>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</si>
  <si>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 xml:space="preserve">Pervestos sulaikytos lėšos, proc. 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</si>
  <si>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</si>
  <si>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</si>
  <si>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</si>
  <si>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</si>
  <si>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</si>
  <si>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</si>
  <si>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</si>
  <si>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</si>
  <si>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</si>
  <si>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</si>
  <si>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</si>
  <si>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</si>
  <si>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</si>
  <si>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</si>
  <si>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</si>
  <si>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</si>
  <si>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</si>
  <si>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</si>
  <si>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</si>
  <si>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</si>
  <si>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</si>
  <si>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</si>
  <si>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</si>
  <si>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</si>
  <si>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 xml:space="preserve">Suskaičiuoti ir išmokėti Administracijai darbo užmokestį, apmokėti veiklos išlaidas </t>
  </si>
  <si>
    <t>Priemokos už projektinį valdymą (01.03.02.09.)</t>
  </si>
  <si>
    <t>9.1.1.23.</t>
  </si>
  <si>
    <t xml:space="preserve">CB, R. Petrauskienė </t>
  </si>
  <si>
    <t>Suskaičiuoti ir išmokėti Administracijai priemokas už projektinį valdymą</t>
  </si>
  <si>
    <t>01.03.02.09.</t>
  </si>
  <si>
    <t>BRS, M. Miežetis</t>
  </si>
  <si>
    <t xml:space="preserve">Laiku pateikti gautas sąskaitas (turto), proc. </t>
  </si>
  <si>
    <t>ITS, S. Martinkus</t>
  </si>
  <si>
    <t>Laiku pateikti gautas sąskaitas (IT)</t>
  </si>
  <si>
    <t>CB, A.Andriejauskienė</t>
  </si>
  <si>
    <t>Laiku apmokėti gautas sąskaitas</t>
  </si>
  <si>
    <t>04.04.04.09.</t>
  </si>
  <si>
    <t>Suskaičiuoti ir išmokėti Administracijai darbo užmokestį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</si>
  <si>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</si>
  <si>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</si>
  <si>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</si>
  <si>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</si>
  <si>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</si>
  <si>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</si>
  <si>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</si>
  <si>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Laiku pateikti sąskaitas, proc.</t>
  </si>
  <si>
    <t>9-1-2-3</t>
  </si>
  <si>
    <t>Mero rezervas</t>
  </si>
  <si>
    <t>Laiku apmokėti gautas sąskaitas už stichinių nelaimių padarytus materialinius nuostolius, proc.</t>
  </si>
  <si>
    <t>9-1-2-5</t>
  </si>
  <si>
    <t>Agluonėnų seniūnijos darbo organizavimas</t>
  </si>
  <si>
    <t>9.1.1.4.25.</t>
  </si>
  <si>
    <t>L. Tučienė</t>
  </si>
  <si>
    <t>Užtikrinta seniūnijos veikla, vnt.</t>
  </si>
  <si>
    <t>9-1-2-6</t>
  </si>
  <si>
    <t>Dauparų Kvietinių seniūnijos darbo organizavimas</t>
  </si>
  <si>
    <t>9.1.1.4.26.</t>
  </si>
  <si>
    <t>D. Simenavičė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</si>
  <si>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</si>
  <si>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</si>
  <si>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</si>
  <si>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</si>
  <si>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</si>
  <si>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</si>
  <si>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</si>
  <si>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</si>
  <si>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</si>
  <si>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</si>
  <si>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</si>
  <si>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</si>
  <si>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</si>
  <si>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</si>
  <si>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</si>
  <si>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</si>
  <si>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</si>
  <si>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</si>
  <si>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</si>
  <si>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</si>
  <si>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</si>
  <si>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</si>
  <si>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</si>
  <si>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</si>
  <si>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</si>
  <si>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</si>
  <si>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</si>
  <si>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</si>
  <si>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</si>
  <si>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</si>
  <si>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</si>
  <si>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</si>
  <si>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E. Badalova</t>
  </si>
  <si>
    <t xml:space="preserve">Paminėjimai žiniasklaidoje, vnt. </t>
  </si>
  <si>
    <t>9-1-2-17</t>
  </si>
  <si>
    <t>Viešinimo priemonės (gyventojo kortelė) 08.02.01.08.</t>
  </si>
  <si>
    <t>Klaipėdos rajono gyventojo kortelės naudotojų skaičius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</si>
  <si>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</si>
  <si>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</si>
  <si>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</si>
  <si>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</si>
  <si>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</si>
  <si>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</si>
  <si>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</si>
  <si>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</si>
  <si>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</si>
  <si>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</si>
  <si>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</si>
  <si>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</si>
  <si>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</si>
  <si>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</si>
  <si>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</si>
  <si>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</si>
  <si>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Archyvinių civilinės būklės aktų įrašų pateiktų registro tvarkytojui, skaičius, vnt.</t>
  </si>
  <si>
    <t>9-1-3-2</t>
  </si>
  <si>
    <t>Archyvinių dokumentų tvarkymas</t>
  </si>
  <si>
    <t>9.1.2.2.</t>
  </si>
  <si>
    <t>BRS, D. Gliožerienė,
 J. Žąsytienė</t>
  </si>
  <si>
    <t>Tinkamai vykdyta funkcija, vnt.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</si>
  <si>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</si>
  <si>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</si>
  <si>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</si>
  <si>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</si>
  <si>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</si>
  <si>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</si>
  <si>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</si>
  <si>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</si>
  <si>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</si>
  <si>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</si>
  <si>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</si>
  <si>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Jasaitienė, A. Zikienė</t>
  </si>
  <si>
    <t>Elektroniniu būdu pateiktų dokumentų dalis nuo visų gautų dokumentų dėl civilinės būklės aktų registravimo ir kitų su tuo susijusių paslaugų teikimo skaičiaus, proc.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</si>
  <si>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</si>
  <si>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</si>
  <si>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</si>
  <si>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</si>
  <si>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</si>
  <si>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</si>
  <si>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</si>
  <si>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</si>
  <si>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</si>
  <si>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Tinkamai vykdyta funkcija, suteiktos pirminės teisinės pagalbos atvejų skaičius,  vnt.</t>
  </si>
  <si>
    <t>9-1-3-8</t>
  </si>
  <si>
    <t>Mobilizacijos administravimas</t>
  </si>
  <si>
    <t>9.1.2.11.</t>
  </si>
  <si>
    <t>V. Grekštienė</t>
  </si>
  <si>
    <t>9-1-3-9</t>
  </si>
  <si>
    <t>Civilinės saugos organizavimas</t>
  </si>
  <si>
    <t>9.1.2.13.</t>
  </si>
  <si>
    <t>VTS, R. Uosytė, 
R. Jonelaitis</t>
  </si>
  <si>
    <t>VTS, R. Jonelaitis</t>
  </si>
  <si>
    <t xml:space="preserve">Modernizuotos esamos priedangos, vnt. </t>
  </si>
  <si>
    <t>9-1-3-10</t>
  </si>
  <si>
    <t>Žemės ūkio funkcijų vykdymas</t>
  </si>
  <si>
    <t>9.1.2.14.19.</t>
  </si>
  <si>
    <t>VBL</t>
  </si>
  <si>
    <t>ŽŪS, A. Latakienė</t>
  </si>
  <si>
    <t>Panaudota lėšų dalis, proc.</t>
  </si>
  <si>
    <t>VBR</t>
  </si>
  <si>
    <t>9.1.2.14.25.</t>
  </si>
  <si>
    <t>AGL, V. Bertulytė</t>
  </si>
  <si>
    <t>Ūkininkų, kuriems teikiamos paslaugos, sk.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</si>
  <si>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</si>
  <si>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</si>
  <si>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</si>
  <si>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</si>
  <si>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</si>
  <si>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</si>
  <si>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Pareiškėjų, kuriems teikiamos paslaugos, skaičius, vnt.</t>
  </si>
  <si>
    <t>9.1.2.14.33.</t>
  </si>
  <si>
    <t>SND, J. Gečienė</t>
  </si>
  <si>
    <t>Ūkininkų, kuriems teikiamos paslaugos, vnt.</t>
  </si>
  <si>
    <t>9.1.2.14.34.</t>
  </si>
  <si>
    <t>VEIV, Z. Rimkienė</t>
  </si>
  <si>
    <t>Ūkininkų, kuriems teikiamos paslaugos sk.</t>
  </si>
  <si>
    <t>9.1.2.14.35.</t>
  </si>
  <si>
    <t>VĖŽ, E. Kundrotienė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</si>
  <si>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</si>
  <si>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</si>
  <si>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</si>
  <si>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</si>
  <si>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</si>
  <si>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</si>
  <si>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</si>
  <si>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</si>
  <si>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</si>
  <si>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</si>
  <si>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</si>
  <si>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Pateiktų dokumentų skaičius, vnt.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</si>
  <si>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</si>
  <si>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</si>
  <si>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</si>
  <si>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</si>
  <si>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</si>
  <si>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</si>
  <si>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</si>
  <si>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DKS, D. Vaitkuvienė</t>
  </si>
  <si>
    <t>22 Endr</t>
  </si>
  <si>
    <t>9.1.2.20.28.</t>
  </si>
  <si>
    <t>ENDR, R. Šiaulytienė</t>
  </si>
  <si>
    <t>23 Grg</t>
  </si>
  <si>
    <t>9.1.2.20.29.</t>
  </si>
  <si>
    <t>24 Jdr</t>
  </si>
  <si>
    <t>9.1.2.20.30.</t>
  </si>
  <si>
    <t>GRG, S. Jurjonienė</t>
  </si>
  <si>
    <t>JDR, I. Montvydienė</t>
  </si>
  <si>
    <t>25 Krtg</t>
  </si>
  <si>
    <t>9.1.2.20.31.</t>
  </si>
  <si>
    <t>KRTG, B. Gedrimaitė-Miliuvienė</t>
  </si>
  <si>
    <t>26 Prkl</t>
  </si>
  <si>
    <t>9.1.2.20.32.</t>
  </si>
  <si>
    <t>27 Sdv</t>
  </si>
  <si>
    <t>9.1.2.20.33.</t>
  </si>
  <si>
    <t>PRKL, R. Kučinskienė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</si>
  <si>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</si>
  <si>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</si>
  <si>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</si>
  <si>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</si>
  <si>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</si>
  <si>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</si>
  <si>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</si>
  <si>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</si>
  <si>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</si>
  <si>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</si>
  <si>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</si>
  <si>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</si>
  <si>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</si>
  <si>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</si>
  <si>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Patenkinti pagalbos prašymai, vnt.</t>
  </si>
  <si>
    <t>9-1-3-22</t>
  </si>
  <si>
    <t>Asmenų su negalia reikalų koordinavimo funkcijos atlikimas</t>
  </si>
  <si>
    <t>9.1.2.31.</t>
  </si>
  <si>
    <t>SSAS, L. Virkutienė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</si>
  <si>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</si>
  <si>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</si>
  <si>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</si>
  <si>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</si>
  <si>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</si>
  <si>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</si>
  <si>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</si>
  <si>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</si>
  <si>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</si>
  <si>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</si>
  <si>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</si>
  <si>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</si>
  <si>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</si>
  <si>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</si>
  <si>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</si>
  <si>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</si>
  <si>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</si>
  <si>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</si>
  <si>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</si>
  <si>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</si>
  <si>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</si>
  <si>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</si>
  <si>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</si>
  <si>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</si>
  <si>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</si>
  <si>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</si>
  <si>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</si>
  <si>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</si>
  <si>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</si>
  <si>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</si>
  <si>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</si>
  <si>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Įgyvendinama programa, proc.</t>
  </si>
  <si>
    <t>9-2-1-2</t>
  </si>
  <si>
    <t>Pagalba Ukrainai ir jos žmonėms</t>
  </si>
  <si>
    <t xml:space="preserve">9.1.1.18. </t>
  </si>
  <si>
    <t>BRS, R. Zubienė</t>
  </si>
  <si>
    <t>Panaudota lėšų, proc.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</si>
  <si>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</si>
  <si>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</si>
  <si>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</si>
  <si>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SPPVS,
R. Grubliauskytė</t>
  </si>
  <si>
    <t xml:space="preserve">
Suorganizuoti partnerių vizitai Klaipėdos rajone, vnt. 
Suorganizuoti Savivaldybės delegacijos vizitai, vnt.
Pasirašytos dalinio finansavimo sutartys, vnt.
</t>
  </si>
  <si>
    <t>2
2
10</t>
  </si>
  <si>
    <t>9-2-1-4</t>
  </si>
  <si>
    <t>Asociacijos „Klaipėdos regionas“ nario mokestis</t>
  </si>
  <si>
    <t>9.1.1.14.</t>
  </si>
  <si>
    <t>Sumokėtas mokestis, proc.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</si>
  <si>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</si>
  <si>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</si>
  <si>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</si>
  <si>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</si>
  <si>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</si>
  <si>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</si>
  <si>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</si>
  <si>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</si>
  <si>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</si>
  <si>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Įgyvendintų iniciatyvų, vnt.</t>
  </si>
  <si>
    <t>9-2-1-7</t>
  </si>
  <si>
    <t>Klaipėdos rajono savivaldybės daugiabučių namų savininkų bendrijų rėmimo programos įgyvendinimas</t>
  </si>
  <si>
    <t>9.5.4.1.</t>
  </si>
  <si>
    <t>TVS, A. Indzelė</t>
  </si>
  <si>
    <t>Pasirašytos paramos skyrimo sutartys, vnt.</t>
  </si>
  <si>
    <t>9-2-1-8</t>
  </si>
  <si>
    <t>Finansavimas daugiabučių namų administratoriams</t>
  </si>
  <si>
    <t>9.5.4.2.</t>
  </si>
  <si>
    <t>TVS, A. Kondrotienė</t>
  </si>
  <si>
    <t>Skirtas finansavimas paraiškoms, vnt.</t>
  </si>
  <si>
    <t>9-2-1-9</t>
  </si>
  <si>
    <t>Pilietinio pasipriešinimo organizacijų rėmimo Klaipėdos rajone programos įgyvendinimas</t>
  </si>
  <si>
    <t>9.4.1.8.</t>
  </si>
  <si>
    <t xml:space="preserve">V. Grekštienė </t>
  </si>
  <si>
    <t xml:space="preserve">Išnagrinėtos paraiškos, vnt. 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</si>
  <si>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</si>
  <si>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</si>
  <si>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</si>
  <si>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</si>
  <si>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Sugrąžintos lėšos, proc.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</si>
  <si>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</si>
  <si>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</si>
  <si>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</si>
  <si>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</si>
  <si>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</si>
  <si>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</si>
  <si>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</si>
  <si>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</si>
  <si>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</si>
  <si>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</si>
  <si>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</si>
  <si>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</si>
  <si>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</si>
  <si>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</si>
  <si>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</si>
  <si>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</si>
  <si>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</si>
  <si>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</si>
  <si>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Parengti dokumentai, vnt.</t>
  </si>
  <si>
    <t>9-3-1-2</t>
  </si>
  <si>
    <t>Savivaldybės turto kadastriniai, topografiniai matavimai ir teisinė registracija, paskirties keitimas</t>
  </si>
  <si>
    <t>9.5.1.1.</t>
  </si>
  <si>
    <t>LŽ</t>
  </si>
  <si>
    <t>9-3-1-3</t>
  </si>
  <si>
    <t>Nekilnojamojo turto rinkos vertės nustatymas</t>
  </si>
  <si>
    <t>9.5.1.2.</t>
  </si>
  <si>
    <t xml:space="preserve">Atliktų turto vertinimų skaičius, vnt. </t>
  </si>
  <si>
    <t>9-3-1-4</t>
  </si>
  <si>
    <t>Nekilnojamojo turto įsigijimas viešųjų poreikių tenkinimui</t>
  </si>
  <si>
    <t>9.5.6.4.</t>
  </si>
  <si>
    <t>Įsigyti NT vienetai</t>
  </si>
  <si>
    <t>9-3-1-5</t>
  </si>
  <si>
    <t>Administracijos pastato rekonstravimo projektavimo ir statybos darbai</t>
  </si>
  <si>
    <t>9.5.2.4.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</si>
  <si>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</si>
  <si>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</si>
  <si>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</si>
  <si>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</si>
  <si>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Panaudotų lėšų dalis, proc.</t>
  </si>
  <si>
    <t>9-3-1-7</t>
  </si>
  <si>
    <t>Savivaldybės statinių remontas (Administracijos direktoriaus įsakymais)</t>
  </si>
  <si>
    <t>9.5.6.1.</t>
  </si>
  <si>
    <t>TVS, E. Jasienė</t>
  </si>
  <si>
    <t>Parengtų direktoriaus įsakymų, vnt.</t>
  </si>
  <si>
    <t>9-3-1-8</t>
  </si>
  <si>
    <t>Katilinių priežiūros ir remonto paslaugos pirkimas</t>
  </si>
  <si>
    <t>9.3</t>
  </si>
  <si>
    <t>9.5.6.2.</t>
  </si>
  <si>
    <t>Atnaujintos, sutvarkytos katilinės, vnt.</t>
  </si>
  <si>
    <t>9-3-1-9</t>
  </si>
  <si>
    <t>Klaipėdos rajono švietimo, kultūros, seniūnijų ir kitų savivaldybės įstaigų elektros ūkio techninė priežiūra</t>
  </si>
  <si>
    <t>9.4.6.5.</t>
  </si>
  <si>
    <t>9-3-1-10</t>
  </si>
  <si>
    <t>Gargždų autobusų stoties pastato projektavimas bei statyba ir dviejų autobusų stotelių įrengimas</t>
  </si>
  <si>
    <t>9.4.6.6.</t>
  </si>
  <si>
    <t xml:space="preserve">Suprojektuotos stotelės, vnt. </t>
  </si>
  <si>
    <t>9-3-1-11</t>
  </si>
  <si>
    <t>Seniūnijų pastatų atnaujinimo ir sutvarkymo projektų rengimas</t>
  </si>
  <si>
    <t>9.1.1.20.</t>
  </si>
  <si>
    <t xml:space="preserve">Atlikti Judrėnų seniūnijos atnaujinimo projektavimo darbai, proc. </t>
  </si>
  <si>
    <t>9.1.1.20.27.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</si>
  <si>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</si>
  <si>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</si>
  <si>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</si>
  <si>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</si>
  <si>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</si>
  <si>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</si>
  <si>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</si>
  <si>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tūkst. Eur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</si>
  <si>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</si>
  <si>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</si>
  <si>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</si>
  <si>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</si>
  <si>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</si>
  <si>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</si>
  <si>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</si>
  <si>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</si>
  <si>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</si>
  <si>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</si>
  <si>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</si>
  <si>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</si>
  <si>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</si>
  <si>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</si>
  <si>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</si>
  <si>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</si>
  <si>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</si>
  <si>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</si>
  <si>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</si>
  <si>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</si>
  <si>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</si>
  <si>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VšĮ Klaipėdos rajono savivaldybės Gargždų ligoninė</t>
  </si>
  <si>
    <t>7.1</t>
  </si>
  <si>
    <t>-*</t>
  </si>
  <si>
    <t>VšĮ Klaipėdos rajono savivaldybės Gargždų pirminės sveikatos priežiūros centras</t>
  </si>
  <si>
    <t>VšĮ Klaipėdos rajono savivaldybės Priekulės pirminės sveikatos priežiūros centras</t>
  </si>
  <si>
    <t>VšĮ Klaipėdos rajono savivaldybės Paupių pirminės sveikatos priežiūros centras</t>
  </si>
  <si>
    <t>BĮ Klaipėdos rajono savivaldybės visuomenės sveikatos biuras</t>
  </si>
  <si>
    <t>BĮ Klaipėdos rajono paramos šeimai centras</t>
  </si>
  <si>
    <t>BĮ Gargždų socialinių paslaugų centras</t>
  </si>
  <si>
    <t>BĮ Priekulės socialinių paslaugų centras</t>
  </si>
  <si>
    <t>Viliaus Gaigalaičio globos namai</t>
  </si>
  <si>
    <t>VšĮ Klaipėdos rajono savivaldybės sveikatos centras</t>
  </si>
  <si>
    <t>Kultūros skyrius</t>
  </si>
  <si>
    <t>KS</t>
  </si>
  <si>
    <t>Jono Lankučio viešoji biblioteka</t>
  </si>
  <si>
    <t>Statybos ir kelių priežiūros skyrius</t>
  </si>
  <si>
    <t>SKPS</t>
  </si>
  <si>
    <t>Infrastruktūros plėtros skyrius</t>
  </si>
  <si>
    <t>IPS</t>
  </si>
  <si>
    <t>AB „Klaipėdos vanduo“</t>
  </si>
  <si>
    <t>UAB „Klaipėdos rajono energija“ 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</si>
  <si>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</si>
  <si>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</si>
  <si>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</si>
  <si>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</si>
  <si>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</si>
  <si>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Gargždų „Kranto“ progimnazija</t>
  </si>
  <si>
    <t>Gargždų „Vaivorykštės“ gimnazija</t>
  </si>
  <si>
    <t>Priekulės Ievos Simonaitytės gimnazija</t>
  </si>
  <si>
    <t>Veiviržėnų Jurgio Šaulio gimnazija</t>
  </si>
  <si>
    <t>Dituvos A. T. Kuršaičio pagrindinė mokykla</t>
  </si>
  <si>
    <t>Dovilų pagrindinė mokykla</t>
  </si>
  <si>
    <t>Ketvergių pagrindinė mokykla</t>
  </si>
  <si>
    <t>Kretingalės pagrindinė mokykla</t>
  </si>
  <si>
    <t>Plikių Ievos Labutytės pagrindinė mokykla</t>
  </si>
  <si>
    <t>Vėžaičių pagrindinė mokykla</t>
  </si>
  <si>
    <t>Gargždų lopšelis-darželis „Ąžuoliukas“</t>
  </si>
  <si>
    <t>Gargždų lopšelis-darželis „Gintarėlis“</t>
  </si>
  <si>
    <t>Gargždų lopšelis-darželis „Saulutė“</t>
  </si>
  <si>
    <t>Gargždų lopšelis-darželis „Naminukas“</t>
  </si>
  <si>
    <t>Priekulės vaikų lopšelis-darželis</t>
  </si>
  <si>
    <t>Vaikų ir jaunimo laisvalaikio centras</t>
  </si>
  <si>
    <t>Klaipėdos rajono švietimo centras</t>
  </si>
  <si>
    <t>BĮ Sporto centras</t>
  </si>
  <si>
    <t>Buriavimo mokykla „Žiemys“</t>
  </si>
  <si>
    <t>Klaipėdos rajono "Saulės" mokykla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</si>
  <si>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</si>
  <si>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</si>
  <si>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</si>
  <si>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</si>
  <si>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</si>
  <si>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</si>
  <si>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</si>
  <si>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</si>
  <si>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</si>
  <si>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Vyriausioji specialistė (jaunimo reikalų koordinatorė)</t>
  </si>
  <si>
    <t>JRK</t>
  </si>
  <si>
    <t>Gargždų atviras jaunimo centras</t>
  </si>
  <si>
    <t>Vyriausioji specialistė (tarpinstitucinio bendradarbiavimo koordinatorė)</t>
  </si>
  <si>
    <t>TIBK</t>
  </si>
  <si>
    <t>Komunalinio ūkio ir aplinkosaugos skyrius</t>
  </si>
  <si>
    <t>KUAS</t>
  </si>
  <si>
    <t>VšĮ Gargždų švara</t>
  </si>
  <si>
    <t>Endriejavo seniūnija</t>
  </si>
  <si>
    <t>Kretingalės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</si>
  <si>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</si>
  <si>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</si>
  <si>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</si>
  <si>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</si>
  <si>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</si>
  <si>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</si>
  <si>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</si>
  <si>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</si>
  <si>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Patarėjas (už korupcijai atsparios aplinkos kūrimą atsakingas asmuo)</t>
  </si>
  <si>
    <t>KAAK</t>
  </si>
  <si>
    <t>Turto valdymo skyrius</t>
  </si>
  <si>
    <t>TVS</t>
  </si>
  <si>
    <t>Patarėja (lygių galimybių koordinatorė)</t>
  </si>
  <si>
    <t>LGK</t>
  </si>
  <si>
    <t>Žemėtvarkos, geodezijos ir GIS skyrius</t>
  </si>
  <si>
    <t>ŽGGS</t>
  </si>
  <si>
    <t>Mobilizacijos specialistė</t>
  </si>
  <si>
    <t>-* nenaudojama santrumpa, naudojamas pilnas pavadinimas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</si>
  <si>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</si>
  <si>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Klaipėdos rajono savivaldybės administracijos 2026 m. metinis veiklos planas</t>
  </si>
  <si>
    <t>VšĮ "Gargždų švara"</t>
  </si>
  <si>
    <t>Vykdyta veikla, vnt.</t>
  </si>
  <si>
    <t xml:space="preserve">Paskirstytos lėšos, proc. </t>
  </si>
  <si>
    <t xml:space="preserve">Sveikatos centras </t>
  </si>
  <si>
    <t>Sveikatos centras</t>
  </si>
  <si>
    <t>Priekulės PSPC</t>
  </si>
  <si>
    <t>Paupių PSPC</t>
  </si>
  <si>
    <t xml:space="preserve">Pervestos lėšos, proc.
Gavėjų skaičius, vnt.
</t>
  </si>
  <si>
    <t>100
112</t>
  </si>
  <si>
    <t>Pervestos lėšos, proc.
Gavėjų skaičius, vnt.</t>
  </si>
  <si>
    <t xml:space="preserve">100
39
</t>
  </si>
  <si>
    <t>1 PROGRAMA</t>
  </si>
  <si>
    <t>2 PROGRAMA</t>
  </si>
  <si>
    <t>3 PROGRAMA</t>
  </si>
  <si>
    <t>4 PROGRAMA</t>
  </si>
  <si>
    <t>5 PROGRAMA</t>
  </si>
  <si>
    <t>6 PROGRAMA</t>
  </si>
  <si>
    <t>7 PROGRAMA</t>
  </si>
  <si>
    <t>8 PROGRAMA</t>
  </si>
  <si>
    <t>9 PROGRAMA</t>
  </si>
  <si>
    <t>ŠSS,
U. Tamošauskienė</t>
  </si>
  <si>
    <t>SKPS, R. Sarulienė</t>
  </si>
  <si>
    <t>SKPS, J. Jackus</t>
  </si>
  <si>
    <t>Pastatyti karkasiniai nameliai, vnt.</t>
  </si>
  <si>
    <t>Atliktas architektūrinis konkursas, vnt.</t>
  </si>
  <si>
    <t>Parengta ekspertizė, vnt.
Gautas statybos leidimas, vnt.</t>
  </si>
  <si>
    <t>1
1</t>
  </si>
  <si>
    <t>KŪAS,
R. Gabrilavičius</t>
  </si>
  <si>
    <t>KŪAS, 
R. Gabrilavičius</t>
  </si>
  <si>
    <t>SKPS, 
R. Rudgalvienė,
J. Blinstrubienė</t>
  </si>
  <si>
    <t>SKPS,
J. Blinstrubienė</t>
  </si>
  <si>
    <t>SPPVS,
V. Kazlauskienė</t>
  </si>
  <si>
    <t>VšĮ "Gargždų futbolas"</t>
  </si>
  <si>
    <t>Buriavimo mokykla "Žiemys"</t>
  </si>
  <si>
    <t>Įgyvendinta programa, vnt.</t>
  </si>
  <si>
    <t>1.4.4.41.1.</t>
  </si>
  <si>
    <t>2.4.1.46.29.</t>
  </si>
  <si>
    <t>6.4.1.46.33.</t>
  </si>
  <si>
    <t xml:space="preserve">PATVIRTINTA 
Klaipėdos rajono savivaldybės administracijos 
direktoriaus 2026 m. kovo 17  d.
įsakymu Nr. AV- 314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</si>
</sst>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</numFmts>
  <fonts count="43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color rgb="FF000000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7"/>
      <name val="Arial"/>
      <family val="2"/>
      <charset val="186"/>
    </font>
    <font>
      <sz val="10"/>
      <name val="Arial"/>
      <charset val="186"/>
    </font>
    <font>
      <sz val="8"/>
      <name val="Arial"/>
      <charset val="186"/>
    </font>
    <font>
      <b/>
      <sz val="8"/>
      <color rgb="FF6600CC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7030A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10" fillId="0" borderId="0"/>
    <xf numFmtId="0" fontId="19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8" fillId="0" borderId="0"/>
    <xf numFmtId="0" fontId="25" fillId="0" borderId="0"/>
    <xf numFmtId="0" fontId="8" fillId="0" borderId="0"/>
    <xf numFmtId="0" fontId="30" fillId="0" borderId="0" applyNumberForma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26">
    <xf numFmtId="0" fontId="0" fillId="0" borderId="0" xfId="0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0" borderId="7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49" fontId="8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3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1" fillId="0" borderId="8" xfId="16" applyFont="1" applyBorder="1" applyAlignment="1" applyProtection="1">
      <alignment vertical="center" wrapText="1"/>
    </xf>
    <xf numFmtId="0" fontId="11" fillId="0" borderId="8" xfId="16" applyFont="1" applyBorder="1" applyAlignment="1" applyProtection="1">
      <alignment vertical="center" wrapText="1"/>
    </xf>
    <xf numFmtId="0" fontId="34" fillId="0" borderId="16" xfId="0" applyFont="1" applyBorder="1" applyAlignment="1">
      <alignment wrapText="1"/>
    </xf>
    <xf numFmtId="0" fontId="34" fillId="0" borderId="19" xfId="0" applyFont="1" applyBorder="1" applyAlignment="1">
      <alignment wrapText="1"/>
    </xf>
    <xf numFmtId="0" fontId="34" fillId="0" borderId="20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0" fontId="34" fillId="0" borderId="34" xfId="0" applyFont="1" applyBorder="1"/>
    <xf numFmtId="0" fontId="34" fillId="26" borderId="33" xfId="0" applyFont="1" applyFill="1" applyBorder="1" applyAlignment="1">
      <alignment wrapText="1"/>
    </xf>
    <xf numFmtId="0" fontId="35" fillId="0" borderId="11" xfId="0" applyFont="1" applyBorder="1" applyAlignment="1">
      <alignment wrapText="1"/>
    </xf>
    <xf numFmtId="0" fontId="35" fillId="0" borderId="34" xfId="0" applyFont="1" applyBorder="1" applyAlignment="1">
      <alignment wrapText="1"/>
    </xf>
    <xf numFmtId="0" fontId="36" fillId="0" borderId="34" xfId="0" applyFont="1" applyBorder="1"/>
    <xf numFmtId="0" fontId="35" fillId="14" borderId="34" xfId="0" applyFont="1" applyFill="1" applyBorder="1"/>
    <xf numFmtId="0" fontId="35" fillId="0" borderId="34" xfId="0" applyFont="1" applyBorder="1"/>
    <xf numFmtId="0" fontId="37" fillId="14" borderId="34" xfId="0" applyFont="1" applyFill="1" applyBorder="1"/>
    <xf numFmtId="0" fontId="38" fillId="0" borderId="34" xfId="0" applyFont="1" applyBorder="1"/>
    <xf numFmtId="0" fontId="35" fillId="27" borderId="34" xfId="0" applyFont="1" applyFill="1" applyBorder="1"/>
    <xf numFmtId="0" fontId="35" fillId="0" borderId="33" xfId="0" applyFont="1" applyBorder="1"/>
    <xf numFmtId="0" fontId="37" fillId="26" borderId="34" xfId="0" applyFont="1" applyFill="1" applyBorder="1"/>
    <xf numFmtId="4" fontId="37" fillId="0" borderId="34" xfId="0" applyNumberFormat="1" applyFont="1" applyBorder="1" applyAlignment="1">
      <alignment wrapText="1"/>
    </xf>
    <xf numFmtId="0" fontId="37" fillId="0" borderId="34" xfId="0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165" fontId="11" fillId="10" borderId="19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9" xfId="0" applyNumberFormat="1" applyFont="1" applyBorder="1" applyAlignment="1" applyProtection="1">
      <alignment horizontal="center" vertical="center" wrapText="1"/>
      <protection locked="0"/>
    </xf>
    <xf numFmtId="165" fontId="11" fillId="0" borderId="19" xfId="0" applyNumberFormat="1" applyFont="1" applyBorder="1" applyAlignment="1" applyProtection="1">
      <alignment horizontal="left" vertical="center" wrapText="1"/>
      <protection locked="0"/>
    </xf>
    <xf numFmtId="165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165" fontId="11" fillId="10" borderId="3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19" xfId="3" applyFont="1" applyBorder="1" applyAlignment="1" applyProtection="1">
      <alignment horizontal="center" vertical="center" wrapText="1"/>
      <protection locked="0"/>
    </xf>
    <xf numFmtId="165" fontId="11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3" applyFont="1" applyBorder="1" applyAlignment="1" applyProtection="1">
      <alignment horizontal="center" vertical="center"/>
      <protection locked="0"/>
    </xf>
    <xf numFmtId="0" fontId="11" fillId="0" borderId="34" xfId="3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1" fillId="0" borderId="19" xfId="3" applyFont="1" applyBorder="1" applyAlignment="1" applyProtection="1">
      <alignment horizontal="left" vertical="center" wrapText="1"/>
      <protection locked="0"/>
    </xf>
    <xf numFmtId="0" fontId="11" fillId="0" borderId="45" xfId="3" applyFont="1" applyBorder="1" applyAlignment="1" applyProtection="1">
      <alignment horizontal="left" vertical="center" wrapText="1"/>
      <protection locked="0"/>
    </xf>
    <xf numFmtId="0" fontId="11" fillId="0" borderId="36" xfId="3" applyFont="1" applyBorder="1" applyAlignment="1" applyProtection="1">
      <alignment horizontal="left" vertical="center" wrapText="1"/>
      <protection locked="0"/>
    </xf>
    <xf numFmtId="0" fontId="11" fillId="0" borderId="19" xfId="3" applyFont="1" applyBorder="1" applyAlignment="1" applyProtection="1">
      <alignment horizontal="left"/>
      <protection locked="0"/>
    </xf>
    <xf numFmtId="0" fontId="11" fillId="0" borderId="36" xfId="3" applyFont="1" applyBorder="1" applyAlignment="1" applyProtection="1">
      <alignment horizontal="left"/>
      <protection locked="0"/>
    </xf>
    <xf numFmtId="0" fontId="11" fillId="0" borderId="45" xfId="3" applyFont="1" applyBorder="1" applyAlignment="1" applyProtection="1">
      <alignment horizontal="left"/>
      <protection locked="0"/>
    </xf>
    <xf numFmtId="0" fontId="11" fillId="0" borderId="34" xfId="3" applyFont="1" applyBorder="1" applyAlignment="1" applyProtection="1">
      <alignment horizontal="center" vertical="center" wrapText="1"/>
      <protection locked="0"/>
    </xf>
    <xf numFmtId="0" fontId="11" fillId="0" borderId="19" xfId="11" applyFont="1" applyBorder="1" applyProtection="1">
      <protection locked="0"/>
    </xf>
    <xf numFmtId="0" fontId="11" fillId="0" borderId="8" xfId="3" applyFont="1" applyBorder="1" applyAlignment="1" applyProtection="1">
      <alignment wrapText="1"/>
      <protection locked="0"/>
    </xf>
    <xf numFmtId="164" fontId="12" fillId="0" borderId="19" xfId="3" applyNumberFormat="1" applyFont="1" applyBorder="1" applyAlignment="1" applyProtection="1">
      <alignment horizontal="center" vertical="center"/>
      <protection locked="0"/>
    </xf>
    <xf numFmtId="0" fontId="11" fillId="0" borderId="43" xfId="11" applyFont="1" applyBorder="1" applyAlignment="1" applyProtection="1">
      <alignment horizontal="left" vertical="center"/>
      <protection locked="0"/>
    </xf>
    <xf numFmtId="164" fontId="8" fillId="0" borderId="19" xfId="3" applyNumberFormat="1" applyBorder="1" applyProtection="1">
      <protection locked="0"/>
    </xf>
    <xf numFmtId="164" fontId="11" fillId="0" borderId="19" xfId="3" applyNumberFormat="1" applyFont="1" applyBorder="1" applyProtection="1">
      <protection locked="0"/>
    </xf>
    <xf numFmtId="164" fontId="8" fillId="0" borderId="36" xfId="3" applyNumberFormat="1" applyBorder="1" applyProtection="1">
      <protection locked="0"/>
    </xf>
    <xf numFmtId="164" fontId="8" fillId="0" borderId="34" xfId="3" applyNumberFormat="1" applyBorder="1" applyProtection="1">
      <protection locked="0"/>
    </xf>
    <xf numFmtId="0" fontId="8" fillId="0" borderId="19" xfId="0" applyFont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horizontal="center" wrapText="1"/>
      <protection locked="0"/>
    </xf>
    <xf numFmtId="0" fontId="11" fillId="0" borderId="34" xfId="0" applyFont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horizontal="center" wrapText="1"/>
      <protection locked="0"/>
    </xf>
    <xf numFmtId="0" fontId="14" fillId="0" borderId="34" xfId="0" applyFont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34" xfId="0" applyFont="1" applyBorder="1" applyProtection="1">
      <protection locked="0"/>
    </xf>
    <xf numFmtId="0" fontId="14" fillId="0" borderId="31" xfId="0" applyFont="1" applyBorder="1" applyProtection="1">
      <protection locked="0"/>
    </xf>
    <xf numFmtId="0" fontId="11" fillId="0" borderId="45" xfId="0" applyFont="1" applyBorder="1" applyProtection="1">
      <protection locked="0"/>
    </xf>
    <xf numFmtId="0" fontId="21" fillId="0" borderId="8" xfId="0" applyFont="1" applyBorder="1" applyAlignment="1" applyProtection="1">
      <alignment wrapText="1"/>
      <protection locked="0"/>
    </xf>
    <xf numFmtId="0" fontId="21" fillId="0" borderId="8" xfId="0" applyFont="1" applyBorder="1" applyAlignment="1" applyProtection="1">
      <alignment horizontal="center"/>
      <protection locked="0"/>
    </xf>
    <xf numFmtId="0" fontId="21" fillId="0" borderId="34" xfId="0" applyFont="1" applyBorder="1" applyProtection="1">
      <protection locked="0"/>
    </xf>
    <xf numFmtId="0" fontId="12" fillId="14" borderId="8" xfId="0" applyFont="1" applyFill="1" applyBorder="1" applyAlignment="1" applyProtection="1">
      <alignment horizontal="center" wrapText="1"/>
      <protection locked="0"/>
    </xf>
    <xf numFmtId="0" fontId="12" fillId="14" borderId="31" xfId="0" applyFont="1" applyFill="1" applyBorder="1" applyAlignment="1" applyProtection="1">
      <alignment wrapText="1"/>
      <protection locked="0"/>
    </xf>
    <xf numFmtId="0" fontId="14" fillId="14" borderId="8" xfId="0" applyFont="1" applyFill="1" applyBorder="1" applyAlignment="1" applyProtection="1">
      <alignment wrapText="1"/>
      <protection locked="0"/>
    </xf>
    <xf numFmtId="0" fontId="12" fillId="14" borderId="45" xfId="0" applyFont="1" applyFill="1" applyBorder="1" applyAlignment="1" applyProtection="1">
      <alignment wrapText="1"/>
      <protection locked="0"/>
    </xf>
    <xf numFmtId="0" fontId="12" fillId="14" borderId="46" xfId="0" applyFont="1" applyFill="1" applyBorder="1" applyAlignment="1" applyProtection="1">
      <alignment wrapText="1"/>
      <protection locked="0"/>
    </xf>
    <xf numFmtId="0" fontId="15" fillId="14" borderId="8" xfId="0" applyFont="1" applyFill="1" applyBorder="1" applyAlignment="1" applyProtection="1">
      <alignment horizontal="center" wrapText="1"/>
      <protection locked="0"/>
    </xf>
    <xf numFmtId="0" fontId="15" fillId="14" borderId="46" xfId="0" applyFont="1" applyFill="1" applyBorder="1" applyAlignment="1" applyProtection="1">
      <alignment wrapText="1"/>
      <protection locked="0"/>
    </xf>
    <xf numFmtId="0" fontId="15" fillId="14" borderId="47" xfId="0" applyFont="1" applyFill="1" applyBorder="1" applyAlignment="1" applyProtection="1">
      <alignment wrapText="1"/>
      <protection locked="0"/>
    </xf>
    <xf numFmtId="0" fontId="11" fillId="0" borderId="34" xfId="0" applyFont="1" applyBorder="1" applyProtection="1">
      <protection locked="0"/>
    </xf>
    <xf numFmtId="0" fontId="14" fillId="14" borderId="8" xfId="0" applyFont="1" applyFill="1" applyBorder="1" applyAlignment="1" applyProtection="1">
      <alignment horizontal="center" wrapText="1"/>
      <protection locked="0"/>
    </xf>
    <xf numFmtId="0" fontId="14" fillId="14" borderId="34" xfId="0" applyFont="1" applyFill="1" applyBorder="1" applyProtection="1">
      <protection locked="0"/>
    </xf>
    <xf numFmtId="0" fontId="14" fillId="14" borderId="8" xfId="0" applyFont="1" applyFill="1" applyBorder="1" applyAlignment="1" applyProtection="1">
      <alignment horizontal="center"/>
      <protection locked="0"/>
    </xf>
    <xf numFmtId="0" fontId="14" fillId="0" borderId="45" xfId="0" applyFont="1" applyBorder="1" applyProtection="1"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14" borderId="8" xfId="0" applyFont="1" applyFill="1" applyBorder="1" applyAlignment="1" applyProtection="1">
      <alignment wrapText="1"/>
      <protection locked="0"/>
    </xf>
    <xf numFmtId="0" fontId="14" fillId="0" borderId="19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14" borderId="46" xfId="0" applyFont="1" applyFill="1" applyBorder="1" applyProtection="1">
      <protection locked="0"/>
    </xf>
    <xf numFmtId="0" fontId="14" fillId="14" borderId="47" xfId="0" applyFont="1" applyFill="1" applyBorder="1" applyProtection="1"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 wrapText="1"/>
      <protection locked="0"/>
    </xf>
    <xf numFmtId="0" fontId="15" fillId="0" borderId="34" xfId="0" applyFont="1" applyBorder="1" applyAlignment="1" applyProtection="1">
      <alignment wrapText="1"/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14" fillId="14" borderId="34" xfId="0" applyFont="1" applyFill="1" applyBorder="1" applyAlignment="1" applyProtection="1">
      <alignment wrapText="1"/>
      <protection locked="0"/>
    </xf>
    <xf numFmtId="0" fontId="14" fillId="0" borderId="36" xfId="0" applyFont="1" applyBorder="1" applyProtection="1">
      <protection locked="0"/>
    </xf>
    <xf numFmtId="0" fontId="14" fillId="0" borderId="19" xfId="0" applyFont="1" applyBorder="1" applyAlignment="1" applyProtection="1">
      <alignment wrapText="1"/>
      <protection locked="0"/>
    </xf>
    <xf numFmtId="0" fontId="21" fillId="0" borderId="36" xfId="0" applyFont="1" applyBorder="1" applyProtection="1">
      <protection locked="0"/>
    </xf>
    <xf numFmtId="0" fontId="11" fillId="0" borderId="45" xfId="0" applyFont="1" applyBorder="1" applyAlignment="1" applyProtection="1">
      <alignment wrapText="1"/>
      <protection locked="0"/>
    </xf>
    <xf numFmtId="0" fontId="11" fillId="0" borderId="46" xfId="0" applyFont="1" applyBorder="1" applyAlignment="1" applyProtection="1">
      <alignment wrapText="1"/>
      <protection locked="0"/>
    </xf>
    <xf numFmtId="0" fontId="11" fillId="0" borderId="31" xfId="0" applyFont="1" applyBorder="1" applyProtection="1">
      <protection locked="0"/>
    </xf>
    <xf numFmtId="0" fontId="11" fillId="0" borderId="48" xfId="0" applyFont="1" applyBorder="1" applyProtection="1">
      <protection locked="0"/>
    </xf>
    <xf numFmtId="0" fontId="11" fillId="0" borderId="47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14" fillId="0" borderId="46" xfId="0" applyFont="1" applyBorder="1" applyProtection="1">
      <protection locked="0"/>
    </xf>
    <xf numFmtId="0" fontId="11" fillId="0" borderId="45" xfId="0" applyFont="1" applyBorder="1" applyAlignment="1" applyProtection="1">
      <alignment horizontal="left"/>
      <protection locked="0"/>
    </xf>
    <xf numFmtId="0" fontId="11" fillId="0" borderId="19" xfId="14" applyFont="1" applyBorder="1" applyProtection="1">
      <protection locked="0"/>
    </xf>
    <xf numFmtId="164" fontId="11" fillId="0" borderId="19" xfId="14" applyNumberFormat="1" applyFont="1" applyBorder="1" applyProtection="1">
      <protection locked="0"/>
    </xf>
    <xf numFmtId="0" fontId="11" fillId="0" borderId="36" xfId="14" applyFont="1" applyBorder="1" applyProtection="1">
      <protection locked="0"/>
    </xf>
    <xf numFmtId="0" fontId="11" fillId="0" borderId="45" xfId="14" applyFont="1" applyBorder="1" applyProtection="1">
      <protection locked="0"/>
    </xf>
    <xf numFmtId="0" fontId="25" fillId="0" borderId="45" xfId="14" applyBorder="1" applyProtection="1">
      <protection locked="0"/>
    </xf>
    <xf numFmtId="0" fontId="25" fillId="0" borderId="34" xfId="14" applyBorder="1" applyProtection="1">
      <protection locked="0"/>
    </xf>
    <xf numFmtId="0" fontId="28" fillId="0" borderId="19" xfId="14" applyFont="1" applyBorder="1" applyProtection="1">
      <protection locked="0"/>
    </xf>
    <xf numFmtId="0" fontId="14" fillId="0" borderId="19" xfId="3" applyFont="1" applyBorder="1" applyProtection="1">
      <protection locked="0"/>
    </xf>
    <xf numFmtId="0" fontId="25" fillId="0" borderId="19" xfId="14" applyBorder="1" applyProtection="1">
      <protection locked="0"/>
    </xf>
    <xf numFmtId="0" fontId="8" fillId="0" borderId="46" xfId="14" applyFont="1" applyBorder="1" applyProtection="1">
      <protection locked="0"/>
    </xf>
    <xf numFmtId="0" fontId="8" fillId="0" borderId="19" xfId="3" applyBorder="1" applyProtection="1">
      <protection locked="0"/>
    </xf>
    <xf numFmtId="165" fontId="11" fillId="10" borderId="19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 applyProtection="1">
      <alignment vertical="center" wrapText="1"/>
      <protection locked="0"/>
    </xf>
    <xf numFmtId="3" fontId="11" fillId="0" borderId="8" xfId="3" applyNumberFormat="1" applyFont="1" applyBorder="1" applyAlignment="1" applyProtection="1">
      <alignment vertical="center" wrapText="1"/>
      <protection locked="0"/>
    </xf>
    <xf numFmtId="0" fontId="8" fillId="0" borderId="45" xfId="3" applyBorder="1" applyAlignment="1" applyProtection="1">
      <alignment horizontal="left" wrapText="1"/>
      <protection locked="0"/>
    </xf>
    <xf numFmtId="0" fontId="8" fillId="0" borderId="19" xfId="3" applyBorder="1" applyAlignment="1" applyProtection="1">
      <alignment horizontal="left" wrapText="1"/>
      <protection locked="0"/>
    </xf>
    <xf numFmtId="3" fontId="11" fillId="2" borderId="8" xfId="3" applyNumberFormat="1" applyFont="1" applyFill="1" applyBorder="1" applyAlignment="1" applyProtection="1">
      <alignment vertical="center" wrapText="1"/>
      <protection locked="0"/>
    </xf>
    <xf numFmtId="3" fontId="11" fillId="0" borderId="8" xfId="6" applyNumberFormat="1" applyFont="1" applyBorder="1" applyAlignment="1" applyProtection="1">
      <alignment vertical="center" wrapText="1"/>
      <protection locked="0"/>
    </xf>
    <xf numFmtId="3" fontId="11" fillId="0" borderId="8" xfId="15" applyNumberFormat="1" applyFont="1" applyBorder="1" applyAlignment="1" applyProtection="1">
      <alignment vertical="center" wrapText="1"/>
      <protection locked="0"/>
    </xf>
    <xf numFmtId="3" fontId="11" fillId="0" borderId="8" xfId="5" applyNumberFormat="1" applyFont="1" applyBorder="1" applyAlignment="1" applyProtection="1">
      <alignment vertical="center" wrapText="1"/>
      <protection locked="0"/>
    </xf>
    <xf numFmtId="0" fontId="11" fillId="0" borderId="8" xfId="3" applyFont="1" applyBorder="1" applyProtection="1">
      <protection locked="0"/>
    </xf>
    <xf numFmtId="0" fontId="10" fillId="0" borderId="8" xfId="8" applyBorder="1" applyAlignment="1" applyProtection="1">
      <alignment wrapText="1"/>
      <protection locked="0"/>
    </xf>
    <xf numFmtId="0" fontId="8" fillId="0" borderId="19" xfId="3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3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0" borderId="8" xfId="3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15" fillId="0" borderId="8" xfId="0" applyFont="1" applyBorder="1" applyAlignment="1" applyProtection="1">
      <alignment horizontal="left" wrapText="1"/>
      <protection locked="0"/>
    </xf>
    <xf numFmtId="0" fontId="14" fillId="0" borderId="8" xfId="0" applyFont="1" applyBorder="1" applyAlignment="1" applyProtection="1">
      <alignment horizontal="left" wrapText="1"/>
      <protection locked="0"/>
    </xf>
    <xf numFmtId="0" fontId="21" fillId="0" borderId="8" xfId="0" applyFont="1" applyBorder="1" applyAlignment="1" applyProtection="1">
      <alignment horizontal="left" wrapText="1"/>
      <protection locked="0"/>
    </xf>
    <xf numFmtId="0" fontId="15" fillId="14" borderId="8" xfId="0" applyFont="1" applyFill="1" applyBorder="1" applyAlignment="1" applyProtection="1">
      <alignment horizontal="left" wrapText="1"/>
      <protection locked="0"/>
    </xf>
    <xf numFmtId="0" fontId="14" fillId="14" borderId="8" xfId="0" applyFont="1" applyFill="1" applyBorder="1" applyAlignment="1" applyProtection="1">
      <alignment horizontal="left" wrapText="1"/>
      <protection locked="0"/>
    </xf>
    <xf numFmtId="0" fontId="11" fillId="14" borderId="8" xfId="0" applyFont="1" applyFill="1" applyBorder="1" applyAlignment="1" applyProtection="1">
      <alignment horizontal="left" wrapText="1"/>
      <protection locked="0"/>
    </xf>
    <xf numFmtId="0" fontId="0" fillId="14" borderId="8" xfId="0" applyFill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4" fontId="11" fillId="0" borderId="8" xfId="3" applyNumberFormat="1" applyFont="1" applyBorder="1" applyAlignment="1" applyProtection="1">
      <alignment wrapText="1"/>
      <protection locked="0"/>
    </xf>
    <xf numFmtId="0" fontId="11" fillId="0" borderId="0" xfId="3" applyFont="1" applyAlignment="1" applyProtection="1">
      <alignment wrapText="1"/>
      <protection locked="0"/>
    </xf>
    <xf numFmtId="0" fontId="11" fillId="0" borderId="48" xfId="3" applyFont="1" applyBorder="1" applyAlignment="1" applyProtection="1">
      <alignment horizontal="left"/>
      <protection locked="0"/>
    </xf>
    <xf numFmtId="0" fontId="11" fillId="0" borderId="11" xfId="3" applyFont="1" applyBorder="1" applyAlignment="1" applyProtection="1">
      <alignment horizontal="left" vertical="center" wrapText="1"/>
      <protection locked="0"/>
    </xf>
    <xf numFmtId="0" fontId="11" fillId="0" borderId="11" xfId="3" applyFont="1" applyBorder="1" applyAlignment="1" applyProtection="1">
      <alignment horizontal="center" vertical="center"/>
      <protection locked="0"/>
    </xf>
    <xf numFmtId="0" fontId="11" fillId="0" borderId="46" xfId="3" applyFont="1" applyBorder="1" applyAlignment="1" applyProtection="1">
      <alignment horizontal="left"/>
      <protection locked="0"/>
    </xf>
    <xf numFmtId="165" fontId="11" fillId="10" borderId="8" xfId="3" applyNumberFormat="1" applyFont="1" applyFill="1" applyBorder="1" applyAlignment="1" applyProtection="1">
      <alignment horizontal="left" vertical="center" wrapText="1"/>
      <protection locked="0"/>
    </xf>
    <xf numFmtId="164" fontId="11" fillId="0" borderId="8" xfId="3" applyNumberFormat="1" applyFont="1" applyBorder="1" applyAlignment="1" applyProtection="1">
      <alignment horizontal="left" vertical="center"/>
      <protection locked="0"/>
    </xf>
    <xf numFmtId="164" fontId="11" fillId="0" borderId="8" xfId="3" applyNumberFormat="1" applyFont="1" applyBorder="1" applyAlignment="1" applyProtection="1">
      <alignment horizontal="left" vertical="center" wrapText="1"/>
      <protection locked="0"/>
    </xf>
    <xf numFmtId="164" fontId="11" fillId="2" borderId="8" xfId="3" applyNumberFormat="1" applyFont="1" applyFill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left"/>
      <protection locked="0"/>
    </xf>
    <xf numFmtId="164" fontId="8" fillId="0" borderId="8" xfId="3" applyNumberFormat="1" applyBorder="1" applyProtection="1"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8" fillId="0" borderId="48" xfId="3" applyBorder="1" applyProtection="1"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25" fillId="0" borderId="46" xfId="14" applyBorder="1" applyProtection="1">
      <protection locked="0"/>
    </xf>
    <xf numFmtId="0" fontId="25" fillId="0" borderId="8" xfId="14" applyBorder="1" applyProtection="1">
      <protection locked="0"/>
    </xf>
    <xf numFmtId="0" fontId="8" fillId="0" borderId="8" xfId="3" applyBorder="1" applyProtection="1">
      <protection locked="0"/>
    </xf>
    <xf numFmtId="0" fontId="11" fillId="0" borderId="8" xfId="14" applyFont="1" applyBorder="1" applyAlignment="1" applyProtection="1">
      <alignment horizontal="left" vertical="center"/>
      <protection locked="0"/>
    </xf>
    <xf numFmtId="0" fontId="11" fillId="0" borderId="8" xfId="14" applyFont="1" applyBorder="1" applyProtection="1">
      <protection locked="0"/>
    </xf>
    <xf numFmtId="0" fontId="8" fillId="0" borderId="8" xfId="3" applyBorder="1" applyAlignment="1" applyProtection="1">
      <alignment horizontal="left" wrapText="1"/>
      <protection locked="0"/>
    </xf>
    <xf numFmtId="0" fontId="11" fillId="4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/>
    </xf>
    <xf numFmtId="49" fontId="11" fillId="6" borderId="8" xfId="0" quotePrefix="1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90" wrapText="1"/>
    </xf>
    <xf numFmtId="164" fontId="12" fillId="9" borderId="8" xfId="3" applyNumberFormat="1" applyFont="1" applyFill="1" applyBorder="1" applyAlignment="1">
      <alignment horizontal="center" vertical="center" wrapText="1"/>
    </xf>
    <xf numFmtId="14" fontId="11" fillId="0" borderId="8" xfId="0" quotePrefix="1" applyNumberFormat="1" applyFont="1" applyBorder="1" applyAlignment="1">
      <alignment horizontal="center" vertical="center" wrapText="1"/>
    </xf>
    <xf numFmtId="0" fontId="11" fillId="0" borderId="8" xfId="3" applyFont="1" applyBorder="1" applyAlignment="1">
      <alignment vertical="center" wrapText="1"/>
    </xf>
    <xf numFmtId="0" fontId="11" fillId="0" borderId="8" xfId="3" applyFont="1" applyBorder="1" applyAlignment="1">
      <alignment horizontal="center" vertical="center" wrapText="1"/>
    </xf>
    <xf numFmtId="164" fontId="11" fillId="0" borderId="8" xfId="3" applyNumberFormat="1" applyFont="1" applyBorder="1" applyAlignment="1">
      <alignment horizontal="center" vertical="center" wrapText="1"/>
    </xf>
    <xf numFmtId="164" fontId="11" fillId="2" borderId="8" xfId="3" applyNumberFormat="1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  <xf numFmtId="49" fontId="11" fillId="2" borderId="8" xfId="3" applyNumberFormat="1" applyFont="1" applyFill="1" applyBorder="1" applyAlignment="1">
      <alignment horizontal="center" vertical="center" wrapText="1"/>
    </xf>
    <xf numFmtId="164" fontId="11" fillId="9" borderId="8" xfId="3" applyNumberFormat="1" applyFont="1" applyFill="1" applyBorder="1" applyAlignment="1">
      <alignment horizontal="center" vertical="center" wrapText="1"/>
    </xf>
    <xf numFmtId="164" fontId="11" fillId="11" borderId="8" xfId="3" applyNumberFormat="1" applyFont="1" applyFill="1" applyBorder="1" applyAlignment="1">
      <alignment horizontal="center" vertical="center" wrapText="1"/>
    </xf>
    <xf numFmtId="0" fontId="11" fillId="13" borderId="8" xfId="3" applyFont="1" applyFill="1" applyBorder="1" applyAlignment="1">
      <alignment horizontal="center" vertical="center" wrapText="1"/>
    </xf>
    <xf numFmtId="0" fontId="11" fillId="13" borderId="8" xfId="3" applyFont="1" applyFill="1" applyBorder="1" applyAlignment="1">
      <alignment vertical="center" wrapText="1"/>
    </xf>
    <xf numFmtId="164" fontId="14" fillId="9" borderId="8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vertical="center" wrapText="1"/>
    </xf>
    <xf numFmtId="0" fontId="11" fillId="2" borderId="8" xfId="3" applyFont="1" applyFill="1" applyBorder="1" applyAlignment="1">
      <alignment vertical="center" wrapText="1"/>
    </xf>
    <xf numFmtId="1" fontId="11" fillId="12" borderId="8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/>
    </xf>
    <xf numFmtId="0" fontId="14" fillId="0" borderId="22" xfId="0" applyFont="1" applyBorder="1" applyAlignment="1">
      <alignment wrapText="1"/>
    </xf>
    <xf numFmtId="165" fontId="11" fillId="11" borderId="8" xfId="0" applyNumberFormat="1" applyFont="1" applyFill="1" applyBorder="1" applyAlignment="1">
      <alignment horizontal="center" vertical="center" wrapText="1"/>
    </xf>
    <xf numFmtId="1" fontId="11" fillId="12" borderId="19" xfId="3" applyNumberFormat="1" applyFont="1" applyFill="1" applyBorder="1" applyAlignment="1">
      <alignment horizontal="center" vertical="center" wrapText="1"/>
    </xf>
    <xf numFmtId="49" fontId="11" fillId="15" borderId="8" xfId="0" quotePrefix="1" applyNumberFormat="1" applyFont="1" applyFill="1" applyBorder="1" applyAlignment="1">
      <alignment horizontal="center" vertical="center" wrapText="1"/>
    </xf>
    <xf numFmtId="49" fontId="11" fillId="15" borderId="17" xfId="0" quotePrefix="1" applyNumberFormat="1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left"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17" xfId="0" applyFont="1" applyBorder="1"/>
    <xf numFmtId="0" fontId="11" fillId="0" borderId="18" xfId="0" applyFont="1" applyBorder="1" applyAlignment="1">
      <alignment vertical="center" wrapText="1"/>
    </xf>
    <xf numFmtId="1" fontId="11" fillId="12" borderId="19" xfId="3" quotePrefix="1" applyNumberFormat="1" applyFont="1" applyFill="1" applyBorder="1" applyAlignment="1">
      <alignment horizontal="center" vertical="center" wrapText="1"/>
    </xf>
    <xf numFmtId="14" fontId="11" fillId="0" borderId="17" xfId="0" quotePrefix="1" applyNumberFormat="1" applyFont="1" applyBorder="1" applyAlignment="1">
      <alignment horizontal="center" vertical="center" wrapText="1"/>
    </xf>
    <xf numFmtId="1" fontId="11" fillId="12" borderId="8" xfId="3" quotePrefix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8" borderId="8" xfId="0" applyFont="1" applyFill="1" applyBorder="1" applyAlignment="1">
      <alignment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5" fillId="0" borderId="8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166" fontId="11" fillId="0" borderId="8" xfId="3" quotePrefix="1" applyNumberFormat="1" applyFont="1" applyBorder="1" applyAlignment="1">
      <alignment horizontal="center" vertical="center" wrapText="1"/>
    </xf>
    <xf numFmtId="166" fontId="11" fillId="0" borderId="8" xfId="3" quotePrefix="1" applyNumberFormat="1" applyFont="1" applyBorder="1" applyAlignment="1">
      <alignment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1" fontId="11" fillId="0" borderId="8" xfId="3" applyNumberFormat="1" applyFont="1" applyBorder="1" applyAlignment="1">
      <alignment vertical="center" wrapText="1"/>
    </xf>
    <xf numFmtId="0" fontId="11" fillId="17" borderId="8" xfId="3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right" vertical="center" wrapText="1"/>
    </xf>
    <xf numFmtId="49" fontId="11" fillId="7" borderId="8" xfId="0" quotePrefix="1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164" fontId="12" fillId="7" borderId="8" xfId="0" applyNumberFormat="1" applyFont="1" applyFill="1" applyBorder="1" applyAlignment="1">
      <alignment horizontal="center" vertical="center" wrapText="1"/>
    </xf>
    <xf numFmtId="49" fontId="11" fillId="0" borderId="8" xfId="0" quotePrefix="1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11" fillId="9" borderId="8" xfId="0" quotePrefix="1" applyNumberFormat="1" applyFont="1" applyFill="1" applyBorder="1" applyAlignment="1">
      <alignment horizontal="center" vertical="center" wrapText="1"/>
    </xf>
    <xf numFmtId="164" fontId="11" fillId="9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1" fillId="2" borderId="8" xfId="3" applyNumberFormat="1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164" fontId="14" fillId="0" borderId="8" xfId="0" applyNumberFormat="1" applyFont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164" fontId="11" fillId="11" borderId="18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164" fontId="11" fillId="9" borderId="18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wrapText="1"/>
    </xf>
    <xf numFmtId="1" fontId="11" fillId="0" borderId="8" xfId="3" quotePrefix="1" applyNumberFormat="1" applyFont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 wrapText="1"/>
    </xf>
    <xf numFmtId="164" fontId="11" fillId="11" borderId="15" xfId="3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164" fontId="11" fillId="2" borderId="8" xfId="0" applyNumberFormat="1" applyFont="1" applyFill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10" borderId="15" xfId="0" applyFont="1" applyFill="1" applyBorder="1" applyAlignment="1">
      <alignment horizontal="center" vertical="center" wrapText="1"/>
    </xf>
    <xf numFmtId="14" fontId="11" fillId="2" borderId="15" xfId="3" applyNumberFormat="1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vertical="center" wrapText="1"/>
    </xf>
    <xf numFmtId="164" fontId="11" fillId="16" borderId="11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center" wrapText="1"/>
    </xf>
    <xf numFmtId="164" fontId="11" fillId="16" borderId="8" xfId="3" applyNumberFormat="1" applyFont="1" applyFill="1" applyBorder="1" applyAlignment="1">
      <alignment horizontal="center" vertical="center" wrapText="1"/>
    </xf>
    <xf numFmtId="0" fontId="11" fillId="0" borderId="11" xfId="0" quotePrefix="1" applyFont="1" applyBorder="1" applyAlignment="1">
      <alignment horizontal="center" vertical="center" wrapText="1"/>
    </xf>
    <xf numFmtId="0" fontId="11" fillId="0" borderId="30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164" fontId="11" fillId="11" borderId="11" xfId="3" applyNumberFormat="1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164" fontId="12" fillId="18" borderId="8" xfId="3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164" fontId="12" fillId="2" borderId="8" xfId="3" applyNumberFormat="1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5" borderId="11" xfId="3" applyFont="1" applyFill="1" applyBorder="1" applyAlignment="1">
      <alignment horizontal="center" vertical="center" textRotation="90" wrapText="1"/>
    </xf>
    <xf numFmtId="0" fontId="11" fillId="5" borderId="11" xfId="3" applyFont="1" applyFill="1" applyBorder="1" applyAlignment="1">
      <alignment vertical="center" wrapText="1"/>
    </xf>
    <xf numFmtId="3" fontId="11" fillId="5" borderId="11" xfId="3" applyNumberFormat="1" applyFont="1" applyFill="1" applyBorder="1" applyAlignment="1">
      <alignment horizontal="center" vertical="center" wrapText="1"/>
    </xf>
    <xf numFmtId="3" fontId="11" fillId="5" borderId="11" xfId="3" applyNumberFormat="1" applyFont="1" applyFill="1" applyBorder="1" applyAlignment="1">
      <alignment horizontal="center" vertical="center" textRotation="90" wrapText="1"/>
    </xf>
    <xf numFmtId="0" fontId="11" fillId="0" borderId="8" xfId="3" applyFont="1" applyBorder="1" applyAlignment="1">
      <alignment horizontal="center" vertical="center"/>
    </xf>
    <xf numFmtId="49" fontId="11" fillId="15" borderId="8" xfId="3" quotePrefix="1" applyNumberFormat="1" applyFont="1" applyFill="1" applyBorder="1" applyAlignment="1">
      <alignment horizontal="center" vertical="center" wrapText="1"/>
    </xf>
    <xf numFmtId="0" fontId="14" fillId="8" borderId="8" xfId="3" applyFont="1" applyFill="1" applyBorder="1" applyAlignment="1">
      <alignment horizontal="left" vertical="center" wrapText="1"/>
    </xf>
    <xf numFmtId="0" fontId="11" fillId="0" borderId="8" xfId="3" quotePrefix="1" applyFont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/>
    </xf>
    <xf numFmtId="0" fontId="11" fillId="11" borderId="8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left" vertical="center" wrapText="1"/>
    </xf>
    <xf numFmtId="0" fontId="11" fillId="5" borderId="8" xfId="3" applyFont="1" applyFill="1" applyBorder="1" applyAlignment="1">
      <alignment horizontal="center" vertical="center" textRotation="90" wrapText="1"/>
    </xf>
    <xf numFmtId="0" fontId="11" fillId="5" borderId="8" xfId="3" applyFont="1" applyFill="1" applyBorder="1" applyAlignment="1">
      <alignment vertical="center" wrapText="1"/>
    </xf>
    <xf numFmtId="3" fontId="11" fillId="5" borderId="8" xfId="3" applyNumberFormat="1" applyFont="1" applyFill="1" applyBorder="1" applyAlignment="1">
      <alignment horizontal="center" vertical="center" wrapText="1"/>
    </xf>
    <xf numFmtId="3" fontId="11" fillId="5" borderId="8" xfId="3" applyNumberFormat="1" applyFont="1" applyFill="1" applyBorder="1" applyAlignment="1">
      <alignment horizontal="center" vertical="center" textRotation="90" wrapText="1"/>
    </xf>
    <xf numFmtId="164" fontId="11" fillId="5" borderId="8" xfId="3" applyNumberFormat="1" applyFont="1" applyFill="1" applyBorder="1" applyAlignment="1">
      <alignment horizontal="center" vertical="center" wrapText="1"/>
    </xf>
    <xf numFmtId="165" fontId="12" fillId="8" borderId="8" xfId="3" applyNumberFormat="1" applyFont="1" applyFill="1" applyBorder="1" applyAlignment="1">
      <alignment horizontal="center" vertical="center" wrapText="1"/>
    </xf>
    <xf numFmtId="164" fontId="12" fillId="8" borderId="8" xfId="3" applyNumberFormat="1" applyFont="1" applyFill="1" applyBorder="1" applyAlignment="1">
      <alignment horizontal="center" vertical="center" wrapText="1"/>
    </xf>
    <xf numFmtId="164" fontId="11" fillId="9" borderId="17" xfId="3" applyNumberFormat="1" applyFont="1" applyFill="1" applyBorder="1" applyAlignment="1">
      <alignment horizontal="left" vertical="center" wrapText="1"/>
    </xf>
    <xf numFmtId="165" fontId="14" fillId="19" borderId="8" xfId="3" applyNumberFormat="1" applyFont="1" applyFill="1" applyBorder="1" applyAlignment="1">
      <alignment horizontal="center" vertical="center" wrapText="1"/>
    </xf>
    <xf numFmtId="164" fontId="14" fillId="19" borderId="8" xfId="3" applyNumberFormat="1" applyFont="1" applyFill="1" applyBorder="1" applyAlignment="1">
      <alignment horizontal="center" vertical="center" wrapText="1"/>
    </xf>
    <xf numFmtId="49" fontId="14" fillId="0" borderId="8" xfId="3" applyNumberFormat="1" applyFont="1" applyBorder="1" applyAlignment="1">
      <alignment horizontal="center" vertical="center" wrapText="1"/>
    </xf>
    <xf numFmtId="0" fontId="14" fillId="14" borderId="8" xfId="3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vertical="center" wrapText="1"/>
    </xf>
    <xf numFmtId="0" fontId="20" fillId="21" borderId="8" xfId="3" applyFont="1" applyFill="1" applyBorder="1" applyAlignment="1">
      <alignment horizontal="center" vertical="center" wrapText="1"/>
    </xf>
    <xf numFmtId="164" fontId="20" fillId="19" borderId="8" xfId="3" applyNumberFormat="1" applyFont="1" applyFill="1" applyBorder="1" applyAlignment="1">
      <alignment horizontal="center" vertical="center" wrapText="1"/>
    </xf>
    <xf numFmtId="0" fontId="14" fillId="0" borderId="22" xfId="3" applyFont="1" applyBorder="1" applyAlignment="1">
      <alignment wrapText="1"/>
    </xf>
    <xf numFmtId="49" fontId="14" fillId="0" borderId="37" xfId="3" applyNumberFormat="1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7" xfId="3" applyFont="1" applyBorder="1" applyAlignment="1">
      <alignment vertical="center" wrapText="1"/>
    </xf>
    <xf numFmtId="0" fontId="14" fillId="14" borderId="37" xfId="3" applyFont="1" applyFill="1" applyBorder="1" applyAlignment="1">
      <alignment horizontal="center" vertical="center" wrapText="1"/>
    </xf>
    <xf numFmtId="0" fontId="20" fillId="21" borderId="37" xfId="3" applyFont="1" applyFill="1" applyBorder="1" applyAlignment="1">
      <alignment horizontal="center" vertical="center" wrapText="1"/>
    </xf>
    <xf numFmtId="164" fontId="20" fillId="19" borderId="37" xfId="3" applyNumberFormat="1" applyFont="1" applyFill="1" applyBorder="1" applyAlignment="1">
      <alignment horizontal="center" vertical="center" wrapText="1"/>
    </xf>
    <xf numFmtId="0" fontId="14" fillId="0" borderId="37" xfId="3" applyFont="1" applyBorder="1" applyAlignment="1">
      <alignment wrapText="1"/>
    </xf>
    <xf numFmtId="0" fontId="14" fillId="14" borderId="18" xfId="3" applyFont="1" applyFill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0" fontId="14" fillId="0" borderId="18" xfId="3" applyFont="1" applyBorder="1" applyAlignment="1">
      <alignment vertical="center" wrapText="1"/>
    </xf>
    <xf numFmtId="49" fontId="14" fillId="0" borderId="18" xfId="3" applyNumberFormat="1" applyFont="1" applyBorder="1" applyAlignment="1">
      <alignment horizontal="center" vertical="center" wrapText="1"/>
    </xf>
    <xf numFmtId="0" fontId="20" fillId="14" borderId="18" xfId="3" applyFont="1" applyFill="1" applyBorder="1" applyAlignment="1">
      <alignment horizontal="center" vertical="center" wrapText="1"/>
    </xf>
    <xf numFmtId="164" fontId="20" fillId="19" borderId="11" xfId="3" applyNumberFormat="1" applyFont="1" applyFill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/>
    </xf>
    <xf numFmtId="49" fontId="14" fillId="0" borderId="11" xfId="3" applyNumberFormat="1" applyFont="1" applyBorder="1" applyAlignment="1">
      <alignment horizontal="center" vertical="center" wrapText="1"/>
    </xf>
    <xf numFmtId="0" fontId="14" fillId="14" borderId="11" xfId="3" applyFont="1" applyFill="1" applyBorder="1" applyAlignment="1">
      <alignment horizontal="center" vertical="center" wrapText="1"/>
    </xf>
    <xf numFmtId="0" fontId="14" fillId="0" borderId="11" xfId="3" applyFont="1" applyBorder="1" applyAlignment="1">
      <alignment wrapText="1"/>
    </xf>
    <xf numFmtId="0" fontId="14" fillId="0" borderId="11" xfId="3" applyFont="1" applyBorder="1" applyAlignment="1">
      <alignment horizontal="center" vertical="center" wrapText="1"/>
    </xf>
    <xf numFmtId="0" fontId="14" fillId="0" borderId="11" xfId="3" applyFont="1" applyBorder="1" applyAlignment="1">
      <alignment vertical="center" wrapText="1"/>
    </xf>
    <xf numFmtId="0" fontId="20" fillId="14" borderId="11" xfId="3" applyFont="1" applyFill="1" applyBorder="1" applyAlignment="1">
      <alignment horizontal="center" vertical="center" wrapText="1"/>
    </xf>
    <xf numFmtId="0" fontId="14" fillId="0" borderId="8" xfId="3" applyFont="1" applyBorder="1" applyAlignment="1">
      <alignment vertical="top" wrapText="1"/>
    </xf>
    <xf numFmtId="0" fontId="20" fillId="0" borderId="8" xfId="3" applyFont="1" applyBorder="1" applyAlignment="1">
      <alignment horizontal="center" vertical="center"/>
    </xf>
    <xf numFmtId="0" fontId="14" fillId="0" borderId="11" xfId="6" applyFont="1" applyBorder="1" applyAlignment="1">
      <alignment horizontal="center" vertical="center" wrapText="1"/>
    </xf>
    <xf numFmtId="0" fontId="14" fillId="14" borderId="8" xfId="6" applyFont="1" applyFill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0" fontId="14" fillId="0" borderId="8" xfId="6" applyFont="1" applyBorder="1" applyAlignment="1">
      <alignment vertical="center" wrapText="1"/>
    </xf>
    <xf numFmtId="0" fontId="14" fillId="14" borderId="11" xfId="6" applyFont="1" applyFill="1" applyBorder="1" applyAlignment="1">
      <alignment horizontal="center" vertical="center" wrapText="1"/>
    </xf>
    <xf numFmtId="0" fontId="20" fillId="21" borderId="8" xfId="6" applyFont="1" applyFill="1" applyBorder="1" applyAlignment="1">
      <alignment horizontal="center" vertical="center" wrapText="1"/>
    </xf>
    <xf numFmtId="0" fontId="14" fillId="0" borderId="11" xfId="6" applyFont="1" applyBorder="1" applyAlignment="1">
      <alignment vertical="center" wrapText="1"/>
    </xf>
    <xf numFmtId="164" fontId="14" fillId="9" borderId="17" xfId="3" applyNumberFormat="1" applyFont="1" applyFill="1" applyBorder="1" applyAlignment="1">
      <alignment horizontal="left" vertical="center" wrapText="1"/>
    </xf>
    <xf numFmtId="0" fontId="14" fillId="2" borderId="11" xfId="3" applyFont="1" applyFill="1" applyBorder="1" applyAlignment="1">
      <alignment horizontal="center" vertical="center" wrapText="1"/>
    </xf>
    <xf numFmtId="164" fontId="14" fillId="9" borderId="11" xfId="3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/>
    </xf>
    <xf numFmtId="0" fontId="14" fillId="2" borderId="8" xfId="3" applyFont="1" applyFill="1" applyBorder="1" applyAlignment="1">
      <alignment horizontal="center" vertical="center" wrapText="1"/>
    </xf>
    <xf numFmtId="0" fontId="14" fillId="11" borderId="8" xfId="3" applyFont="1" applyFill="1" applyBorder="1" applyAlignment="1">
      <alignment horizontal="center" vertical="center" wrapText="1"/>
    </xf>
    <xf numFmtId="164" fontId="14" fillId="11" borderId="8" xfId="3" applyNumberFormat="1" applyFont="1" applyFill="1" applyBorder="1" applyAlignment="1">
      <alignment horizontal="center" vertical="center" wrapText="1"/>
    </xf>
    <xf numFmtId="49" fontId="11" fillId="0" borderId="17" xfId="3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vertical="center" wrapText="1"/>
    </xf>
    <xf numFmtId="164" fontId="11" fillId="9" borderId="33" xfId="3" applyNumberFormat="1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49" fontId="11" fillId="0" borderId="15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8" xfId="3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/>
    </xf>
    <xf numFmtId="0" fontId="11" fillId="11" borderId="19" xfId="3" applyFont="1" applyFill="1" applyBorder="1" applyAlignment="1">
      <alignment horizontal="center" vertical="center" wrapText="1"/>
    </xf>
    <xf numFmtId="49" fontId="11" fillId="0" borderId="11" xfId="3" applyNumberFormat="1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/>
    </xf>
    <xf numFmtId="0" fontId="14" fillId="2" borderId="8" xfId="3" applyFont="1" applyFill="1" applyBorder="1" applyAlignment="1">
      <alignment horizontal="right" vertical="top" wrapText="1"/>
    </xf>
    <xf numFmtId="0" fontId="11" fillId="2" borderId="19" xfId="3" applyFont="1" applyFill="1" applyBorder="1" applyAlignment="1">
      <alignment horizontal="center" vertical="center" wrapText="1"/>
    </xf>
    <xf numFmtId="164" fontId="12" fillId="0" borderId="8" xfId="3" applyNumberFormat="1" applyFont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/>
    </xf>
    <xf numFmtId="49" fontId="11" fillId="0" borderId="8" xfId="3" quotePrefix="1" applyNumberFormat="1" applyFont="1" applyBorder="1" applyAlignment="1">
      <alignment horizontal="center" vertical="center" wrapText="1"/>
    </xf>
    <xf numFmtId="0" fontId="14" fillId="0" borderId="8" xfId="3" applyFont="1" applyBorder="1" applyAlignment="1">
      <alignment horizontal="left" vertical="center" wrapText="1"/>
    </xf>
    <xf numFmtId="164" fontId="11" fillId="9" borderId="11" xfId="3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right" vertical="center" wrapText="1"/>
    </xf>
    <xf numFmtId="0" fontId="13" fillId="2" borderId="8" xfId="3" applyFont="1" applyFill="1" applyBorder="1" applyAlignment="1">
      <alignment horizontal="center" vertical="center" wrapText="1"/>
    </xf>
    <xf numFmtId="164" fontId="13" fillId="9" borderId="8" xfId="3" applyNumberFormat="1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right" vertical="center" wrapText="1"/>
    </xf>
    <xf numFmtId="49" fontId="11" fillId="0" borderId="13" xfId="3" applyNumberFormat="1" applyFont="1" applyBorder="1" applyAlignment="1">
      <alignment horizontal="center" vertical="center" wrapText="1"/>
    </xf>
    <xf numFmtId="0" fontId="14" fillId="2" borderId="13" xfId="3" applyFont="1" applyFill="1" applyBorder="1" applyAlignment="1">
      <alignment horizontal="right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3" xfId="3" applyFont="1" applyBorder="1" applyAlignment="1">
      <alignment vertical="center" wrapText="1"/>
    </xf>
    <xf numFmtId="0" fontId="13" fillId="2" borderId="13" xfId="3" applyFont="1" applyFill="1" applyBorder="1" applyAlignment="1">
      <alignment horizontal="center" vertical="center" wrapText="1"/>
    </xf>
    <xf numFmtId="164" fontId="13" fillId="9" borderId="13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right" wrapText="1"/>
    </xf>
    <xf numFmtId="0" fontId="11" fillId="11" borderId="15" xfId="3" applyFont="1" applyFill="1" applyBorder="1" applyAlignment="1">
      <alignment horizontal="center" vertical="center" wrapText="1"/>
    </xf>
    <xf numFmtId="0" fontId="11" fillId="0" borderId="18" xfId="3" applyFont="1" applyBorder="1" applyAlignment="1">
      <alignment horizontal="right" vertical="center" wrapText="1"/>
    </xf>
    <xf numFmtId="0" fontId="11" fillId="0" borderId="18" xfId="3" applyFont="1" applyBorder="1" applyAlignment="1">
      <alignment horizontal="center" vertical="center" wrapText="1"/>
    </xf>
    <xf numFmtId="0" fontId="13" fillId="2" borderId="18" xfId="3" applyFont="1" applyFill="1" applyBorder="1" applyAlignment="1">
      <alignment horizontal="center" vertical="center" wrapText="1"/>
    </xf>
    <xf numFmtId="164" fontId="13" fillId="9" borderId="18" xfId="3" applyNumberFormat="1" applyFont="1" applyFill="1" applyBorder="1" applyAlignment="1">
      <alignment horizontal="center" vertical="center" wrapText="1"/>
    </xf>
    <xf numFmtId="0" fontId="14" fillId="0" borderId="18" xfId="3" applyFont="1" applyBorder="1" applyAlignment="1">
      <alignment horizontal="right" vertical="center" wrapText="1"/>
    </xf>
    <xf numFmtId="0" fontId="14" fillId="0" borderId="18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49" fontId="11" fillId="0" borderId="19" xfId="3" applyNumberFormat="1" applyFont="1" applyBorder="1" applyAlignment="1">
      <alignment horizontal="center" vertical="center" wrapText="1"/>
    </xf>
    <xf numFmtId="49" fontId="12" fillId="2" borderId="8" xfId="3" applyNumberFormat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/>
    </xf>
    <xf numFmtId="164" fontId="12" fillId="7" borderId="8" xfId="3" applyNumberFormat="1" applyFont="1" applyFill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164" fontId="11" fillId="9" borderId="8" xfId="3" applyNumberFormat="1" applyFont="1" applyFill="1" applyBorder="1" applyAlignment="1">
      <alignment horizontal="center" vertical="center"/>
    </xf>
    <xf numFmtId="164" fontId="11" fillId="0" borderId="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wrapText="1"/>
    </xf>
    <xf numFmtId="0" fontId="24" fillId="0" borderId="8" xfId="3" applyFont="1" applyBorder="1" applyAlignment="1">
      <alignment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/>
    </xf>
    <xf numFmtId="0" fontId="11" fillId="0" borderId="8" xfId="3" applyFont="1" applyBorder="1"/>
    <xf numFmtId="0" fontId="11" fillId="0" borderId="15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17" xfId="3" applyFont="1" applyBorder="1" applyAlignment="1">
      <alignment vertical="center" wrapText="1"/>
    </xf>
    <xf numFmtId="0" fontId="11" fillId="0" borderId="38" xfId="3" applyFont="1" applyBorder="1" applyAlignment="1">
      <alignment horizontal="center" vertical="center"/>
    </xf>
    <xf numFmtId="0" fontId="11" fillId="0" borderId="32" xfId="3" applyFont="1" applyBorder="1" applyAlignment="1">
      <alignment horizontal="center" vertical="center"/>
    </xf>
    <xf numFmtId="49" fontId="11" fillId="9" borderId="8" xfId="3" applyNumberFormat="1" applyFont="1" applyFill="1" applyBorder="1" applyAlignment="1">
      <alignment horizontal="center" vertical="center"/>
    </xf>
    <xf numFmtId="0" fontId="11" fillId="9" borderId="8" xfId="3" applyFont="1" applyFill="1" applyBorder="1"/>
    <xf numFmtId="0" fontId="11" fillId="9" borderId="11" xfId="3" applyFont="1" applyFill="1" applyBorder="1" applyAlignment="1">
      <alignment horizontal="center" vertical="center"/>
    </xf>
    <xf numFmtId="0" fontId="11" fillId="9" borderId="11" xfId="3" applyFont="1" applyFill="1" applyBorder="1" applyAlignment="1">
      <alignment horizontal="center" vertical="center" wrapText="1"/>
    </xf>
    <xf numFmtId="0" fontId="23" fillId="9" borderId="8" xfId="3" applyFont="1" applyFill="1" applyBorder="1" applyAlignment="1">
      <alignment horizontal="center" vertical="center" wrapText="1"/>
    </xf>
    <xf numFmtId="164" fontId="12" fillId="9" borderId="8" xfId="3" applyNumberFormat="1" applyFont="1" applyFill="1" applyBorder="1" applyAlignment="1">
      <alignment horizontal="center" vertical="center"/>
    </xf>
    <xf numFmtId="0" fontId="11" fillId="0" borderId="8" xfId="3" applyFont="1" applyBorder="1" applyAlignment="1">
      <alignment vertical="center"/>
    </xf>
    <xf numFmtId="49" fontId="11" fillId="2" borderId="8" xfId="3" applyNumberFormat="1" applyFont="1" applyFill="1" applyBorder="1" applyAlignment="1">
      <alignment horizontal="center" vertical="center"/>
    </xf>
    <xf numFmtId="164" fontId="11" fillId="12" borderId="8" xfId="9" applyNumberFormat="1" applyFont="1" applyFill="1" applyBorder="1" applyAlignment="1">
      <alignment horizontal="center" vertical="center"/>
    </xf>
    <xf numFmtId="164" fontId="11" fillId="0" borderId="8" xfId="9" applyNumberFormat="1" applyFont="1" applyBorder="1" applyAlignment="1">
      <alignment horizontal="center" vertical="center" wrapText="1"/>
    </xf>
    <xf numFmtId="164" fontId="11" fillId="2" borderId="8" xfId="9" applyNumberFormat="1" applyFont="1" applyFill="1" applyBorder="1" applyAlignment="1">
      <alignment horizontal="center" vertical="center"/>
    </xf>
    <xf numFmtId="49" fontId="23" fillId="2" borderId="8" xfId="3" applyNumberFormat="1" applyFont="1" applyFill="1" applyBorder="1" applyAlignment="1">
      <alignment horizontal="center" vertical="center"/>
    </xf>
    <xf numFmtId="0" fontId="11" fillId="0" borderId="8" xfId="11" applyFont="1" applyBorder="1" applyAlignment="1">
      <alignment horizontal="center" vertical="center"/>
    </xf>
    <xf numFmtId="14" fontId="11" fillId="0" borderId="8" xfId="3" quotePrefix="1" applyNumberFormat="1" applyFont="1" applyBorder="1" applyAlignment="1">
      <alignment horizontal="center" vertical="center" wrapText="1"/>
    </xf>
    <xf numFmtId="49" fontId="11" fillId="0" borderId="8" xfId="11" applyNumberFormat="1" applyFont="1" applyBorder="1" applyAlignment="1">
      <alignment horizontal="center" vertical="center"/>
    </xf>
    <xf numFmtId="0" fontId="11" fillId="0" borderId="8" xfId="11" applyFont="1" applyBorder="1" applyAlignment="1">
      <alignment vertical="center" wrapText="1"/>
    </xf>
    <xf numFmtId="0" fontId="11" fillId="0" borderId="8" xfId="11" applyFont="1" applyBorder="1" applyAlignment="1">
      <alignment horizontal="center"/>
    </xf>
    <xf numFmtId="164" fontId="23" fillId="0" borderId="8" xfId="11" applyNumberFormat="1" applyFont="1" applyBorder="1" applyAlignment="1">
      <alignment horizontal="center" vertical="center"/>
    </xf>
    <xf numFmtId="49" fontId="11" fillId="0" borderId="8" xfId="11" applyNumberFormat="1" applyFont="1" applyBorder="1" applyAlignment="1">
      <alignment horizontal="center" vertical="center" wrapText="1"/>
    </xf>
    <xf numFmtId="0" fontId="11" fillId="0" borderId="8" xfId="11" applyFont="1" applyBorder="1" applyAlignment="1">
      <alignment horizontal="center" wrapText="1"/>
    </xf>
    <xf numFmtId="0" fontId="11" fillId="0" borderId="8" xfId="11" applyFont="1" applyBorder="1" applyAlignment="1">
      <alignment horizontal="center" vertical="center" wrapText="1"/>
    </xf>
    <xf numFmtId="164" fontId="23" fillId="9" borderId="8" xfId="11" applyNumberFormat="1" applyFont="1" applyFill="1" applyBorder="1" applyAlignment="1">
      <alignment horizontal="center" vertical="center"/>
    </xf>
    <xf numFmtId="0" fontId="11" fillId="2" borderId="8" xfId="11" applyFont="1" applyFill="1" applyBorder="1" applyAlignment="1">
      <alignment horizontal="center" vertical="center"/>
    </xf>
    <xf numFmtId="0" fontId="16" fillId="0" borderId="8" xfId="11" applyFont="1" applyBorder="1" applyAlignment="1">
      <alignment vertical="center" wrapText="1"/>
    </xf>
    <xf numFmtId="0" fontId="11" fillId="2" borderId="8" xfId="11" applyFont="1" applyFill="1" applyBorder="1" applyAlignment="1">
      <alignment horizontal="center" vertical="center" wrapText="1"/>
    </xf>
    <xf numFmtId="0" fontId="11" fillId="0" borderId="11" xfId="3" applyFont="1" applyBorder="1"/>
    <xf numFmtId="0" fontId="11" fillId="0" borderId="34" xfId="3" applyFont="1" applyBorder="1" applyAlignment="1">
      <alignment wrapText="1"/>
    </xf>
    <xf numFmtId="0" fontId="11" fillId="14" borderId="34" xfId="3" applyFont="1" applyFill="1" applyBorder="1"/>
    <xf numFmtId="0" fontId="11" fillId="0" borderId="34" xfId="3" applyFont="1" applyBorder="1"/>
    <xf numFmtId="0" fontId="11" fillId="2" borderId="8" xfId="11" applyFont="1" applyFill="1" applyBorder="1" applyAlignment="1">
      <alignment vertical="center" wrapText="1"/>
    </xf>
    <xf numFmtId="0" fontId="17" fillId="2" borderId="8" xfId="11" applyFont="1" applyFill="1" applyBorder="1" applyAlignment="1">
      <alignment vertical="center" wrapText="1"/>
    </xf>
    <xf numFmtId="164" fontId="12" fillId="2" borderId="8" xfId="3" applyNumberFormat="1" applyFont="1" applyFill="1" applyBorder="1" applyAlignment="1">
      <alignment horizontal="center" vertical="center"/>
    </xf>
    <xf numFmtId="164" fontId="26" fillId="9" borderId="8" xfId="11" applyNumberFormat="1" applyFont="1" applyFill="1" applyBorder="1" applyAlignment="1">
      <alignment horizontal="center" vertical="center"/>
    </xf>
    <xf numFmtId="49" fontId="11" fillId="0" borderId="8" xfId="11" applyNumberFormat="1" applyFont="1" applyBorder="1" applyAlignment="1">
      <alignment horizontal="center" vertical="center" shrinkToFit="1"/>
    </xf>
    <xf numFmtId="0" fontId="14" fillId="0" borderId="8" xfId="11" applyFont="1" applyBorder="1" applyAlignment="1">
      <alignment vertical="center" wrapText="1"/>
    </xf>
    <xf numFmtId="0" fontId="8" fillId="0" borderId="8" xfId="3" applyBorder="1"/>
    <xf numFmtId="49" fontId="11" fillId="0" borderId="17" xfId="11" applyNumberFormat="1" applyFont="1" applyBorder="1" applyAlignment="1">
      <alignment horizontal="center" vertical="center"/>
    </xf>
    <xf numFmtId="0" fontId="11" fillId="0" borderId="8" xfId="11" applyFont="1" applyBorder="1" applyAlignment="1">
      <alignment horizontal="right" vertical="center" wrapText="1"/>
    </xf>
    <xf numFmtId="49" fontId="11" fillId="2" borderId="19" xfId="11" applyNumberFormat="1" applyFont="1" applyFill="1" applyBorder="1" applyAlignment="1">
      <alignment horizontal="center" vertical="center"/>
    </xf>
    <xf numFmtId="0" fontId="8" fillId="0" borderId="8" xfId="3" applyBorder="1" applyAlignment="1">
      <alignment horizontal="right"/>
    </xf>
    <xf numFmtId="0" fontId="11" fillId="0" borderId="0" xfId="3" applyFont="1" applyAlignment="1">
      <alignment horizontal="center" vertical="center"/>
    </xf>
    <xf numFmtId="0" fontId="11" fillId="0" borderId="11" xfId="11" applyFont="1" applyBorder="1" applyAlignment="1">
      <alignment vertical="center" wrapText="1"/>
    </xf>
    <xf numFmtId="0" fontId="11" fillId="0" borderId="8" xfId="11" applyFont="1" applyBorder="1" applyAlignment="1">
      <alignment horizontal="left" vertical="center" wrapText="1"/>
    </xf>
    <xf numFmtId="49" fontId="11" fillId="2" borderId="8" xfId="11" applyNumberFormat="1" applyFont="1" applyFill="1" applyBorder="1" applyAlignment="1">
      <alignment horizontal="center" vertical="center"/>
    </xf>
    <xf numFmtId="164" fontId="11" fillId="9" borderId="8" xfId="11" applyNumberFormat="1" applyFont="1" applyFill="1" applyBorder="1" applyAlignment="1">
      <alignment horizontal="center" vertical="center"/>
    </xf>
    <xf numFmtId="0" fontId="11" fillId="0" borderId="17" xfId="11" applyFont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11" fillId="11" borderId="37" xfId="3" applyFont="1" applyFill="1" applyBorder="1" applyAlignment="1">
      <alignment horizontal="center" vertical="center" wrapText="1"/>
    </xf>
    <xf numFmtId="164" fontId="11" fillId="11" borderId="37" xfId="3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wrapText="1"/>
    </xf>
    <xf numFmtId="0" fontId="11" fillId="0" borderId="37" xfId="3" applyFont="1" applyBorder="1" applyAlignment="1">
      <alignment horizontal="center" vertical="center"/>
    </xf>
    <xf numFmtId="0" fontId="11" fillId="11" borderId="18" xfId="3" applyFont="1" applyFill="1" applyBorder="1" applyAlignment="1">
      <alignment horizontal="center" vertical="center" wrapText="1"/>
    </xf>
    <xf numFmtId="164" fontId="12" fillId="18" borderId="11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center" wrapText="1"/>
    </xf>
    <xf numFmtId="0" fontId="11" fillId="0" borderId="11" xfId="3" applyFont="1" applyBorder="1" applyAlignment="1">
      <alignment horizontal="center" wrapText="1"/>
    </xf>
    <xf numFmtId="49" fontId="11" fillId="5" borderId="11" xfId="3" applyNumberFormat="1" applyFont="1" applyFill="1" applyBorder="1" applyAlignment="1">
      <alignment horizontal="center" vertical="center" textRotation="90" wrapText="1"/>
    </xf>
    <xf numFmtId="49" fontId="11" fillId="7" borderId="8" xfId="3" applyNumberFormat="1" applyFont="1" applyFill="1" applyBorder="1" applyAlignment="1">
      <alignment horizontal="center" vertical="center" wrapText="1"/>
    </xf>
    <xf numFmtId="0" fontId="11" fillId="7" borderId="8" xfId="3" applyFont="1" applyFill="1" applyBorder="1" applyAlignment="1">
      <alignment vertical="center" wrapText="1"/>
    </xf>
    <xf numFmtId="0" fontId="11" fillId="12" borderId="8" xfId="3" applyFont="1" applyFill="1" applyBorder="1" applyAlignment="1">
      <alignment horizontal="center" vertical="center" wrapText="1"/>
    </xf>
    <xf numFmtId="49" fontId="11" fillId="5" borderId="8" xfId="3" applyNumberFormat="1" applyFont="1" applyFill="1" applyBorder="1" applyAlignment="1">
      <alignment horizontal="center" vertical="center" textRotation="90" wrapText="1"/>
    </xf>
    <xf numFmtId="0" fontId="14" fillId="2" borderId="8" xfId="3" applyFont="1" applyFill="1" applyBorder="1" applyAlignment="1">
      <alignment vertical="center" wrapText="1"/>
    </xf>
    <xf numFmtId="0" fontId="11" fillId="0" borderId="8" xfId="3" applyFont="1" applyBorder="1" applyAlignment="1">
      <alignment vertical="top" wrapText="1"/>
    </xf>
    <xf numFmtId="164" fontId="11" fillId="2" borderId="8" xfId="10" applyNumberFormat="1" applyFont="1" applyFill="1" applyBorder="1" applyAlignment="1">
      <alignment horizontal="center" vertical="center" wrapText="1"/>
    </xf>
    <xf numFmtId="164" fontId="11" fillId="0" borderId="8" xfId="10" applyNumberFormat="1" applyFont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wrapText="1"/>
    </xf>
    <xf numFmtId="164" fontId="11" fillId="0" borderId="8" xfId="3" applyNumberFormat="1" applyFont="1" applyBorder="1"/>
    <xf numFmtId="0" fontId="11" fillId="0" borderId="11" xfId="3" applyFont="1" applyBorder="1" applyAlignment="1">
      <alignment vertical="center" wrapText="1"/>
    </xf>
    <xf numFmtId="1" fontId="11" fillId="0" borderId="11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1" fontId="11" fillId="0" borderId="8" xfId="10" applyNumberFormat="1" applyFont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horizontal="left" vertical="center" wrapText="1"/>
    </xf>
    <xf numFmtId="0" fontId="8" fillId="5" borderId="8" xfId="14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textRotation="90" wrapText="1"/>
    </xf>
    <xf numFmtId="3" fontId="8" fillId="5" borderId="8" xfId="0" applyNumberFormat="1" applyFont="1" applyFill="1" applyBorder="1" applyAlignment="1">
      <alignment horizontal="center" vertical="center" textRotation="90" wrapText="1"/>
    </xf>
    <xf numFmtId="3" fontId="8" fillId="5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/>
    <xf numFmtId="49" fontId="11" fillId="15" borderId="8" xfId="0" quotePrefix="1" applyNumberFormat="1" applyFont="1" applyFill="1" applyBorder="1" applyAlignment="1">
      <alignment horizontal="left" vertical="center" wrapText="1"/>
    </xf>
    <xf numFmtId="49" fontId="11" fillId="15" borderId="8" xfId="0" applyNumberFormat="1" applyFont="1" applyFill="1" applyBorder="1" applyAlignment="1">
      <alignment horizontal="center" vertical="center" wrapText="1"/>
    </xf>
    <xf numFmtId="49" fontId="11" fillId="0" borderId="8" xfId="10" applyNumberFormat="1" applyFont="1" applyBorder="1" applyAlignment="1">
      <alignment horizontal="center" vertical="center" wrapText="1"/>
    </xf>
    <xf numFmtId="164" fontId="11" fillId="0" borderId="8" xfId="10" applyNumberFormat="1" applyFont="1" applyBorder="1" applyAlignment="1">
      <alignment horizontal="left" vertical="center" wrapText="1"/>
    </xf>
    <xf numFmtId="164" fontId="11" fillId="0" borderId="8" xfId="10" applyNumberFormat="1" applyFont="1" applyBorder="1" applyAlignment="1">
      <alignment horizontal="center" wrapText="1"/>
    </xf>
    <xf numFmtId="164" fontId="12" fillId="11" borderId="8" xfId="10" applyNumberFormat="1" applyFont="1" applyFill="1" applyBorder="1" applyAlignment="1">
      <alignment horizontal="center" vertical="center" wrapText="1"/>
    </xf>
    <xf numFmtId="164" fontId="12" fillId="22" borderId="8" xfId="10" applyNumberFormat="1" applyFont="1" applyFill="1" applyBorder="1" applyAlignment="1">
      <alignment horizontal="center" vertical="center" wrapText="1"/>
    </xf>
    <xf numFmtId="1" fontId="11" fillId="0" borderId="8" xfId="10" applyNumberFormat="1" applyFont="1" applyBorder="1" applyAlignment="1">
      <alignment horizontal="center" wrapText="1"/>
    </xf>
    <xf numFmtId="164" fontId="11" fillId="9" borderId="8" xfId="1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49" fontId="11" fillId="0" borderId="8" xfId="1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164" fontId="12" fillId="9" borderId="8" xfId="10" applyNumberFormat="1" applyFont="1" applyFill="1" applyBorder="1" applyAlignment="1">
      <alignment horizontal="center" vertical="center" wrapText="1"/>
    </xf>
    <xf numFmtId="1" fontId="8" fillId="5" borderId="8" xfId="10" applyNumberFormat="1" applyFont="1" applyFill="1" applyBorder="1" applyAlignment="1">
      <alignment horizontal="center" wrapText="1"/>
    </xf>
    <xf numFmtId="164" fontId="8" fillId="5" borderId="8" xfId="10" applyNumberFormat="1" applyFont="1" applyFill="1" applyBorder="1" applyAlignment="1">
      <alignment horizontal="center" wrapText="1"/>
    </xf>
    <xf numFmtId="164" fontId="8" fillId="5" borderId="8" xfId="10" applyNumberFormat="1" applyFont="1" applyFill="1" applyBorder="1" applyAlignment="1">
      <alignment horizontal="center" vertical="center" wrapText="1"/>
    </xf>
    <xf numFmtId="164" fontId="8" fillId="5" borderId="8" xfId="10" applyNumberFormat="1" applyFont="1" applyFill="1" applyBorder="1" applyAlignment="1">
      <alignment horizontal="center" vertical="center"/>
    </xf>
    <xf numFmtId="164" fontId="11" fillId="15" borderId="8" xfId="0" applyNumberFormat="1" applyFont="1" applyFill="1" applyBorder="1" applyAlignment="1">
      <alignment horizontal="center" vertical="center" wrapText="1"/>
    </xf>
    <xf numFmtId="164" fontId="11" fillId="0" borderId="15" xfId="10" applyNumberFormat="1" applyFont="1" applyBorder="1" applyAlignment="1">
      <alignment horizontal="left" vertical="center" wrapText="1"/>
    </xf>
    <xf numFmtId="164" fontId="11" fillId="2" borderId="18" xfId="10" applyNumberFormat="1" applyFont="1" applyFill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center" vertical="center"/>
    </xf>
    <xf numFmtId="164" fontId="11" fillId="16" borderId="8" xfId="1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164" fontId="14" fillId="16" borderId="8" xfId="0" applyNumberFormat="1" applyFont="1" applyFill="1" applyBorder="1" applyAlignment="1">
      <alignment horizontal="center" vertical="center"/>
    </xf>
    <xf numFmtId="49" fontId="11" fillId="2" borderId="8" xfId="1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14" borderId="8" xfId="0" applyFont="1" applyFill="1" applyBorder="1"/>
    <xf numFmtId="1" fontId="11" fillId="2" borderId="8" xfId="10" applyNumberFormat="1" applyFont="1" applyFill="1" applyBorder="1" applyAlignment="1">
      <alignment horizontal="center" wrapText="1"/>
    </xf>
    <xf numFmtId="49" fontId="11" fillId="0" borderId="15" xfId="1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1" fontId="11" fillId="0" borderId="15" xfId="10" applyNumberFormat="1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49" fontId="11" fillId="0" borderId="18" xfId="1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1" fontId="11" fillId="0" borderId="18" xfId="10" applyNumberFormat="1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16" borderId="18" xfId="0" applyNumberFormat="1" applyFont="1" applyFill="1" applyBorder="1" applyAlignment="1">
      <alignment horizontal="center" vertical="center"/>
    </xf>
    <xf numFmtId="164" fontId="11" fillId="0" borderId="18" xfId="10" applyNumberFormat="1" applyFont="1" applyBorder="1" applyAlignment="1">
      <alignment horizontal="center" vertical="center" wrapText="1"/>
    </xf>
    <xf numFmtId="164" fontId="11" fillId="0" borderId="18" xfId="10" applyNumberFormat="1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16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11" fillId="16" borderId="18" xfId="3" applyNumberFormat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1" fontId="11" fillId="0" borderId="30" xfId="10" applyNumberFormat="1" applyFont="1" applyBorder="1" applyAlignment="1">
      <alignment horizontal="center" vertical="center" wrapText="1"/>
    </xf>
    <xf numFmtId="164" fontId="11" fillId="0" borderId="30" xfId="10" applyNumberFormat="1" applyFont="1" applyBorder="1" applyAlignment="1">
      <alignment horizontal="center" vertical="center"/>
    </xf>
    <xf numFmtId="1" fontId="11" fillId="0" borderId="18" xfId="10" applyNumberFormat="1" applyFont="1" applyBorder="1" applyAlignment="1">
      <alignment horizontal="center" wrapText="1"/>
    </xf>
    <xf numFmtId="164" fontId="11" fillId="2" borderId="18" xfId="10" applyNumberFormat="1" applyFont="1" applyFill="1" applyBorder="1" applyAlignment="1">
      <alignment horizontal="center" vertical="center"/>
    </xf>
    <xf numFmtId="49" fontId="11" fillId="0" borderId="33" xfId="10" applyNumberFormat="1" applyFont="1" applyBorder="1" applyAlignment="1">
      <alignment horizontal="center" vertical="center" wrapText="1"/>
    </xf>
    <xf numFmtId="49" fontId="11" fillId="0" borderId="17" xfId="1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wrapText="1"/>
    </xf>
    <xf numFmtId="1" fontId="11" fillId="0" borderId="34" xfId="10" applyNumberFormat="1" applyFont="1" applyBorder="1" applyAlignment="1">
      <alignment horizontal="center" vertical="center" wrapText="1"/>
    </xf>
    <xf numFmtId="0" fontId="11" fillId="0" borderId="11" xfId="12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16" borderId="8" xfId="0" applyNumberFormat="1" applyFont="1" applyFill="1" applyBorder="1" applyAlignment="1">
      <alignment horizontal="center" vertical="center"/>
    </xf>
    <xf numFmtId="49" fontId="14" fillId="0" borderId="18" xfId="10" applyNumberFormat="1" applyFont="1" applyBorder="1" applyAlignment="1">
      <alignment horizontal="center" vertical="center" wrapText="1"/>
    </xf>
    <xf numFmtId="164" fontId="11" fillId="2" borderId="8" xfId="10" applyNumberFormat="1" applyFont="1" applyFill="1" applyBorder="1" applyAlignment="1">
      <alignment horizontal="center" wrapText="1"/>
    </xf>
    <xf numFmtId="49" fontId="11" fillId="0" borderId="37" xfId="1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49" fontId="11" fillId="0" borderId="11" xfId="10" applyNumberFormat="1" applyFont="1" applyBorder="1" applyAlignment="1">
      <alignment horizontal="center" vertical="center" wrapText="1"/>
    </xf>
    <xf numFmtId="164" fontId="11" fillId="0" borderId="8" xfId="1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164" fontId="11" fillId="9" borderId="15" xfId="3" applyNumberFormat="1" applyFont="1" applyFill="1" applyBorder="1" applyAlignment="1">
      <alignment horizontal="center" vertical="center" wrapText="1"/>
    </xf>
    <xf numFmtId="164" fontId="11" fillId="0" borderId="15" xfId="10" applyNumberFormat="1" applyFont="1" applyBorder="1" applyAlignment="1">
      <alignment horizontal="center" vertical="center" wrapText="1"/>
    </xf>
    <xf numFmtId="164" fontId="13" fillId="9" borderId="15" xfId="3" applyNumberFormat="1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right" vertical="center" wrapText="1"/>
    </xf>
    <xf numFmtId="1" fontId="11" fillId="0" borderId="37" xfId="10" applyNumberFormat="1" applyFont="1" applyBorder="1" applyAlignment="1">
      <alignment horizontal="center" vertical="center" wrapText="1"/>
    </xf>
    <xf numFmtId="164" fontId="11" fillId="0" borderId="37" xfId="10" applyNumberFormat="1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164" fontId="11" fillId="9" borderId="37" xfId="3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4" borderId="8" xfId="0" applyNumberFormat="1" applyFont="1" applyFill="1" applyBorder="1" applyAlignment="1">
      <alignment horizontal="center" vertical="center"/>
    </xf>
    <xf numFmtId="0" fontId="11" fillId="20" borderId="8" xfId="0" applyFont="1" applyFill="1" applyBorder="1" applyAlignment="1">
      <alignment vertical="center" wrapText="1"/>
    </xf>
    <xf numFmtId="0" fontId="11" fillId="20" borderId="11" xfId="0" applyFont="1" applyFill="1" applyBorder="1" applyAlignment="1">
      <alignment vertical="center" wrapText="1"/>
    </xf>
    <xf numFmtId="164" fontId="11" fillId="0" borderId="11" xfId="10" applyNumberFormat="1" applyFont="1" applyBorder="1" applyAlignment="1">
      <alignment horizontal="center" vertical="center" wrapText="1"/>
    </xf>
    <xf numFmtId="49" fontId="11" fillId="2" borderId="11" xfId="0" quotePrefix="1" applyNumberFormat="1" applyFont="1" applyFill="1" applyBorder="1" applyAlignment="1">
      <alignment horizontal="center" vertical="center" wrapText="1"/>
    </xf>
    <xf numFmtId="49" fontId="12" fillId="2" borderId="11" xfId="0" quotePrefix="1" applyNumberFormat="1" applyFont="1" applyFill="1" applyBorder="1" applyAlignment="1">
      <alignment horizontal="left" vertical="center" wrapText="1"/>
    </xf>
    <xf numFmtId="1" fontId="11" fillId="2" borderId="11" xfId="10" applyNumberFormat="1" applyFont="1" applyFill="1" applyBorder="1" applyAlignment="1">
      <alignment horizontal="center" vertical="center" wrapText="1"/>
    </xf>
    <xf numFmtId="164" fontId="11" fillId="2" borderId="11" xfId="10" applyNumberFormat="1" applyFont="1" applyFill="1" applyBorder="1" applyAlignment="1">
      <alignment horizontal="center" vertical="center" wrapText="1"/>
    </xf>
    <xf numFmtId="164" fontId="11" fillId="11" borderId="11" xfId="10" applyNumberFormat="1" applyFont="1" applyFill="1" applyBorder="1" applyAlignment="1">
      <alignment horizontal="center" vertical="center"/>
    </xf>
    <xf numFmtId="164" fontId="14" fillId="11" borderId="11" xfId="10" applyNumberFormat="1" applyFont="1" applyFill="1" applyBorder="1" applyAlignment="1">
      <alignment horizontal="center" vertical="center" wrapText="1"/>
    </xf>
    <xf numFmtId="0" fontId="11" fillId="2" borderId="8" xfId="0" applyFont="1" applyFill="1" applyBorder="1"/>
    <xf numFmtId="1" fontId="11" fillId="2" borderId="8" xfId="10" applyNumberFormat="1" applyFont="1" applyFill="1" applyBorder="1" applyAlignment="1">
      <alignment horizontal="center" vertical="center" wrapText="1"/>
    </xf>
    <xf numFmtId="164" fontId="11" fillId="11" borderId="8" xfId="10" applyNumberFormat="1" applyFont="1" applyFill="1" applyBorder="1" applyAlignment="1">
      <alignment horizontal="center" vertical="center"/>
    </xf>
    <xf numFmtId="164" fontId="11" fillId="11" borderId="8" xfId="10" applyNumberFormat="1" applyFont="1" applyFill="1" applyBorder="1" applyAlignment="1">
      <alignment horizontal="center" vertical="center" wrapText="1"/>
    </xf>
    <xf numFmtId="49" fontId="11" fillId="2" borderId="19" xfId="1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wrapText="1"/>
    </xf>
    <xf numFmtId="0" fontId="11" fillId="0" borderId="8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wrapText="1"/>
    </xf>
    <xf numFmtId="0" fontId="14" fillId="0" borderId="8" xfId="0" applyFont="1" applyBorder="1" applyAlignment="1">
      <alignment horizontal="left" vertical="center"/>
    </xf>
    <xf numFmtId="49" fontId="14" fillId="0" borderId="8" xfId="10" applyNumberFormat="1" applyFont="1" applyBorder="1" applyAlignment="1">
      <alignment horizontal="center" vertical="center" wrapText="1"/>
    </xf>
    <xf numFmtId="1" fontId="14" fillId="0" borderId="8" xfId="10" applyNumberFormat="1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14" borderId="8" xfId="0" applyFont="1" applyFill="1" applyBorder="1"/>
    <xf numFmtId="49" fontId="11" fillId="0" borderId="19" xfId="10" applyNumberFormat="1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0" xfId="0" applyFont="1" applyAlignment="1">
      <alignment horizontal="center"/>
    </xf>
    <xf numFmtId="0" fontId="11" fillId="28" borderId="8" xfId="0" applyFont="1" applyFill="1" applyBorder="1"/>
    <xf numFmtId="0" fontId="11" fillId="2" borderId="1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49" fontId="11" fillId="15" borderId="11" xfId="0" quotePrefix="1" applyNumberFormat="1" applyFont="1" applyFill="1" applyBorder="1" applyAlignment="1">
      <alignment horizontal="left" vertical="center" wrapText="1"/>
    </xf>
    <xf numFmtId="49" fontId="11" fillId="2" borderId="8" xfId="0" quotePrefix="1" applyNumberFormat="1" applyFont="1" applyFill="1" applyBorder="1" applyAlignment="1">
      <alignment horizontal="center" vertical="center" wrapText="1"/>
    </xf>
    <xf numFmtId="49" fontId="11" fillId="2" borderId="8" xfId="0" quotePrefix="1" applyNumberFormat="1" applyFont="1" applyFill="1" applyBorder="1" applyAlignment="1">
      <alignment horizontal="left" vertical="center" wrapText="1"/>
    </xf>
    <xf numFmtId="164" fontId="11" fillId="12" borderId="8" xfId="10" applyNumberFormat="1" applyFont="1" applyFill="1" applyBorder="1" applyAlignment="1">
      <alignment horizontal="center" wrapText="1"/>
    </xf>
    <xf numFmtId="164" fontId="11" fillId="0" borderId="8" xfId="10" applyNumberFormat="1" applyFont="1" applyBorder="1" applyAlignment="1">
      <alignment horizontal="right" vertical="center" wrapText="1"/>
    </xf>
    <xf numFmtId="164" fontId="11" fillId="8" borderId="8" xfId="0" applyNumberFormat="1" applyFont="1" applyFill="1" applyBorder="1" applyAlignment="1">
      <alignment horizontal="center" vertical="center" wrapText="1"/>
    </xf>
    <xf numFmtId="164" fontId="11" fillId="8" borderId="8" xfId="10" applyNumberFormat="1" applyFont="1" applyFill="1" applyBorder="1" applyAlignment="1">
      <alignment horizontal="center" vertical="center"/>
    </xf>
    <xf numFmtId="164" fontId="11" fillId="9" borderId="8" xfId="0" applyNumberFormat="1" applyFont="1" applyFill="1" applyBorder="1" applyAlignment="1">
      <alignment horizontal="center" vertical="center"/>
    </xf>
    <xf numFmtId="164" fontId="11" fillId="8" borderId="8" xfId="10" applyNumberFormat="1" applyFont="1" applyFill="1" applyBorder="1" applyAlignment="1">
      <alignment horizontal="center" vertical="center" wrapText="1"/>
    </xf>
    <xf numFmtId="164" fontId="11" fillId="2" borderId="8" xfId="10" applyNumberFormat="1" applyFont="1" applyFill="1" applyBorder="1" applyAlignment="1">
      <alignment horizontal="left" vertical="center" wrapText="1"/>
    </xf>
    <xf numFmtId="1" fontId="11" fillId="0" borderId="8" xfId="10" applyNumberFormat="1" applyFont="1" applyBorder="1" applyAlignment="1">
      <alignment horizontal="center" vertical="center"/>
    </xf>
    <xf numFmtId="164" fontId="11" fillId="2" borderId="8" xfId="10" applyNumberFormat="1" applyFont="1" applyFill="1" applyBorder="1" applyAlignment="1">
      <alignment horizontal="center"/>
    </xf>
    <xf numFmtId="1" fontId="11" fillId="0" borderId="8" xfId="10" applyNumberFormat="1" applyFont="1" applyBorder="1" applyAlignment="1">
      <alignment horizontal="center"/>
    </xf>
    <xf numFmtId="164" fontId="11" fillId="0" borderId="8" xfId="10" applyNumberFormat="1" applyFont="1" applyBorder="1" applyAlignment="1">
      <alignment horizontal="center"/>
    </xf>
    <xf numFmtId="1" fontId="11" fillId="2" borderId="8" xfId="10" applyNumberFormat="1" applyFont="1" applyFill="1" applyBorder="1" applyAlignment="1">
      <alignment horizontal="center" vertical="center"/>
    </xf>
    <xf numFmtId="164" fontId="11" fillId="2" borderId="8" xfId="10" applyNumberFormat="1" applyFont="1" applyFill="1" applyBorder="1" applyAlignment="1">
      <alignment horizontal="center" vertical="center"/>
    </xf>
    <xf numFmtId="49" fontId="11" fillId="2" borderId="8" xfId="10" applyNumberFormat="1" applyFont="1" applyFill="1" applyBorder="1" applyAlignment="1">
      <alignment horizontal="center" vertical="center"/>
    </xf>
    <xf numFmtId="164" fontId="11" fillId="0" borderId="8" xfId="10" applyNumberFormat="1" applyFont="1" applyBorder="1" applyAlignment="1">
      <alignment horizontal="left" vertical="center" wrapText="1" shrinkToFit="1"/>
    </xf>
    <xf numFmtId="164" fontId="11" fillId="16" borderId="8" xfId="0" applyNumberFormat="1" applyFont="1" applyFill="1" applyBorder="1" applyAlignment="1">
      <alignment horizontal="center" wrapText="1"/>
    </xf>
    <xf numFmtId="49" fontId="11" fillId="10" borderId="8" xfId="0" quotePrefix="1" applyNumberFormat="1" applyFont="1" applyFill="1" applyBorder="1" applyAlignment="1">
      <alignment horizontal="center" vertical="center" wrapText="1"/>
    </xf>
    <xf numFmtId="49" fontId="11" fillId="10" borderId="15" xfId="0" quotePrefix="1" applyNumberFormat="1" applyFont="1" applyFill="1" applyBorder="1" applyAlignment="1">
      <alignment horizontal="left" vertical="center" wrapText="1"/>
    </xf>
    <xf numFmtId="49" fontId="11" fillId="10" borderId="8" xfId="0" applyNumberFormat="1" applyFont="1" applyFill="1" applyBorder="1" applyAlignment="1">
      <alignment horizontal="center" vertical="center" wrapText="1"/>
    </xf>
    <xf numFmtId="49" fontId="11" fillId="10" borderId="11" xfId="0" applyNumberFormat="1" applyFont="1" applyFill="1" applyBorder="1" applyAlignment="1">
      <alignment horizontal="center" vertical="center" wrapText="1"/>
    </xf>
    <xf numFmtId="164" fontId="14" fillId="8" borderId="8" xfId="0" applyNumberFormat="1" applyFont="1" applyFill="1" applyBorder="1" applyAlignment="1">
      <alignment horizontal="center" wrapText="1"/>
    </xf>
    <xf numFmtId="164" fontId="11" fillId="8" borderId="8" xfId="0" applyNumberFormat="1" applyFont="1" applyFill="1" applyBorder="1" applyAlignment="1">
      <alignment horizontal="center" wrapText="1"/>
    </xf>
    <xf numFmtId="164" fontId="11" fillId="8" borderId="8" xfId="0" applyNumberFormat="1" applyFont="1" applyFill="1" applyBorder="1" applyAlignment="1">
      <alignment horizontal="center"/>
    </xf>
    <xf numFmtId="164" fontId="12" fillId="8" borderId="8" xfId="0" applyNumberFormat="1" applyFont="1" applyFill="1" applyBorder="1" applyAlignment="1">
      <alignment horizontal="center" wrapText="1"/>
    </xf>
    <xf numFmtId="164" fontId="11" fillId="2" borderId="15" xfId="10" applyNumberFormat="1" applyFont="1" applyFill="1" applyBorder="1" applyAlignment="1">
      <alignment horizontal="left" vertical="center" wrapText="1"/>
    </xf>
    <xf numFmtId="164" fontId="14" fillId="0" borderId="8" xfId="10" applyNumberFormat="1" applyFont="1" applyBorder="1" applyAlignment="1">
      <alignment horizontal="left" vertical="center" wrapText="1"/>
    </xf>
    <xf numFmtId="164" fontId="11" fillId="11" borderId="15" xfId="0" applyNumberFormat="1" applyFont="1" applyFill="1" applyBorder="1" applyAlignment="1">
      <alignment horizontal="center" vertical="center" wrapText="1"/>
    </xf>
    <xf numFmtId="0" fontId="11" fillId="25" borderId="8" xfId="0" applyFont="1" applyFill="1" applyBorder="1" applyAlignment="1">
      <alignment wrapText="1"/>
    </xf>
    <xf numFmtId="164" fontId="8" fillId="5" borderId="15" xfId="10" applyNumberFormat="1" applyFont="1" applyFill="1" applyBorder="1" applyAlignment="1">
      <alignment horizontal="center" vertical="center" wrapText="1"/>
    </xf>
    <xf numFmtId="164" fontId="8" fillId="5" borderId="15" xfId="10" applyNumberFormat="1" applyFont="1" applyFill="1" applyBorder="1" applyAlignment="1">
      <alignment horizontal="center" vertical="center"/>
    </xf>
    <xf numFmtId="49" fontId="11" fillId="2" borderId="8" xfId="0" quotePrefix="1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horizontal="center" wrapText="1"/>
    </xf>
    <xf numFmtId="164" fontId="12" fillId="8" borderId="8" xfId="0" applyNumberFormat="1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 wrapText="1"/>
    </xf>
    <xf numFmtId="164" fontId="15" fillId="8" borderId="8" xfId="0" applyNumberFormat="1" applyFont="1" applyFill="1" applyBorder="1" applyAlignment="1">
      <alignment horizontal="center" wrapText="1"/>
    </xf>
    <xf numFmtId="49" fontId="14" fillId="0" borderId="8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 wrapText="1"/>
    </xf>
    <xf numFmtId="164" fontId="11" fillId="16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1" fillId="14" borderId="8" xfId="0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64" fontId="11" fillId="16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164" fontId="11" fillId="14" borderId="15" xfId="0" applyNumberFormat="1" applyFont="1" applyFill="1" applyBorder="1" applyAlignment="1">
      <alignment horizontal="center" wrapText="1"/>
    </xf>
    <xf numFmtId="49" fontId="14" fillId="0" borderId="18" xfId="0" applyNumberFormat="1" applyFont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164" fontId="11" fillId="14" borderId="18" xfId="0" applyNumberFormat="1" applyFont="1" applyFill="1" applyBorder="1" applyAlignment="1">
      <alignment horizontal="center" wrapText="1"/>
    </xf>
    <xf numFmtId="164" fontId="11" fillId="16" borderId="18" xfId="0" applyNumberFormat="1" applyFont="1" applyFill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164" fontId="11" fillId="14" borderId="37" xfId="0" applyNumberFormat="1" applyFont="1" applyFill="1" applyBorder="1" applyAlignment="1">
      <alignment horizontal="center" wrapText="1"/>
    </xf>
    <xf numFmtId="164" fontId="11" fillId="16" borderId="37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1" fillId="0" borderId="37" xfId="0" applyFont="1" applyBorder="1" applyAlignment="1">
      <alignment horizontal="center"/>
    </xf>
    <xf numFmtId="49" fontId="14" fillId="0" borderId="32" xfId="0" applyNumberFormat="1" applyFont="1" applyBorder="1" applyAlignment="1">
      <alignment horizontal="center"/>
    </xf>
    <xf numFmtId="0" fontId="11" fillId="0" borderId="18" xfId="0" applyFont="1" applyBorder="1" applyAlignment="1">
      <alignment wrapText="1"/>
    </xf>
    <xf numFmtId="0" fontId="14" fillId="0" borderId="18" xfId="0" applyFont="1" applyBorder="1" applyAlignment="1">
      <alignment horizontal="center"/>
    </xf>
    <xf numFmtId="164" fontId="14" fillId="14" borderId="18" xfId="0" applyNumberFormat="1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4" fillId="2" borderId="18" xfId="0" applyFont="1" applyFill="1" applyBorder="1" applyAlignment="1">
      <alignment horizontal="center" wrapText="1"/>
    </xf>
    <xf numFmtId="164" fontId="11" fillId="0" borderId="18" xfId="0" applyNumberFormat="1" applyFont="1" applyBorder="1" applyAlignment="1">
      <alignment horizontal="center" wrapText="1"/>
    </xf>
    <xf numFmtId="0" fontId="14" fillId="0" borderId="19" xfId="0" applyFont="1" applyBorder="1" applyAlignment="1">
      <alignment wrapText="1"/>
    </xf>
    <xf numFmtId="0" fontId="14" fillId="0" borderId="0" xfId="0" applyFont="1" applyAlignment="1">
      <alignment wrapText="1"/>
    </xf>
    <xf numFmtId="49" fontId="11" fillId="15" borderId="18" xfId="0" applyNumberFormat="1" applyFont="1" applyFill="1" applyBorder="1" applyAlignment="1">
      <alignment horizontal="center" wrapText="1"/>
    </xf>
    <xf numFmtId="0" fontId="14" fillId="15" borderId="18" xfId="0" applyFont="1" applyFill="1" applyBorder="1" applyAlignment="1">
      <alignment wrapText="1"/>
    </xf>
    <xf numFmtId="0" fontId="11" fillId="15" borderId="18" xfId="0" applyFont="1" applyFill="1" applyBorder="1" applyAlignment="1">
      <alignment horizontal="center" wrapText="1"/>
    </xf>
    <xf numFmtId="164" fontId="11" fillId="15" borderId="18" xfId="0" applyNumberFormat="1" applyFont="1" applyFill="1" applyBorder="1" applyAlignment="1">
      <alignment horizontal="center" wrapText="1"/>
    </xf>
    <xf numFmtId="164" fontId="12" fillId="15" borderId="18" xfId="0" applyNumberFormat="1" applyFont="1" applyFill="1" applyBorder="1" applyAlignment="1">
      <alignment horizontal="center" wrapText="1"/>
    </xf>
    <xf numFmtId="49" fontId="11" fillId="15" borderId="11" xfId="0" applyNumberFormat="1" applyFont="1" applyFill="1" applyBorder="1" applyAlignment="1">
      <alignment horizontal="center" wrapText="1"/>
    </xf>
    <xf numFmtId="0" fontId="11" fillId="15" borderId="11" xfId="0" applyFont="1" applyFill="1" applyBorder="1" applyAlignment="1">
      <alignment wrapText="1"/>
    </xf>
    <xf numFmtId="0" fontId="11" fillId="15" borderId="11" xfId="0" applyFont="1" applyFill="1" applyBorder="1" applyAlignment="1">
      <alignment horizontal="center" wrapText="1"/>
    </xf>
    <xf numFmtId="164" fontId="11" fillId="15" borderId="11" xfId="0" applyNumberFormat="1" applyFont="1" applyFill="1" applyBorder="1" applyAlignment="1">
      <alignment horizontal="center" wrapText="1"/>
    </xf>
    <xf numFmtId="164" fontId="12" fillId="15" borderId="11" xfId="0" applyNumberFormat="1" applyFont="1" applyFill="1" applyBorder="1" applyAlignment="1">
      <alignment horizontal="center" wrapText="1"/>
    </xf>
    <xf numFmtId="49" fontId="11" fillId="0" borderId="8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4" fillId="16" borderId="8" xfId="0" applyNumberFormat="1" applyFont="1" applyFill="1" applyBorder="1" applyAlignment="1">
      <alignment horizontal="center" wrapText="1"/>
    </xf>
    <xf numFmtId="49" fontId="11" fillId="20" borderId="8" xfId="0" applyNumberFormat="1" applyFont="1" applyFill="1" applyBorder="1" applyAlignment="1">
      <alignment horizontal="center"/>
    </xf>
    <xf numFmtId="0" fontId="14" fillId="20" borderId="8" xfId="0" applyFont="1" applyFill="1" applyBorder="1" applyAlignment="1">
      <alignment wrapText="1"/>
    </xf>
    <xf numFmtId="0" fontId="11" fillId="20" borderId="8" xfId="0" applyFont="1" applyFill="1" applyBorder="1" applyAlignment="1">
      <alignment horizontal="center"/>
    </xf>
    <xf numFmtId="164" fontId="11" fillId="20" borderId="8" xfId="0" applyNumberFormat="1" applyFont="1" applyFill="1" applyBorder="1" applyAlignment="1">
      <alignment horizontal="center"/>
    </xf>
    <xf numFmtId="164" fontId="15" fillId="16" borderId="8" xfId="0" applyNumberFormat="1" applyFont="1" applyFill="1" applyBorder="1" applyAlignment="1">
      <alignment horizontal="center" wrapText="1"/>
    </xf>
    <xf numFmtId="0" fontId="11" fillId="0" borderId="8" xfId="0" applyFont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1" fillId="20" borderId="8" xfId="0" applyFont="1" applyFill="1" applyBorder="1" applyAlignment="1">
      <alignment wrapText="1"/>
    </xf>
    <xf numFmtId="49" fontId="11" fillId="14" borderId="8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0" fontId="11" fillId="14" borderId="8" xfId="0" applyFont="1" applyFill="1" applyBorder="1" applyAlignment="1">
      <alignment horizontal="center"/>
    </xf>
    <xf numFmtId="0" fontId="11" fillId="2" borderId="8" xfId="12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0" fontId="11" fillId="0" borderId="11" xfId="14" applyFont="1" applyBorder="1" applyAlignment="1">
      <alignment horizontal="center" vertical="center" wrapText="1"/>
    </xf>
    <xf numFmtId="0" fontId="11" fillId="5" borderId="11" xfId="14" applyFont="1" applyFill="1" applyBorder="1"/>
    <xf numFmtId="164" fontId="11" fillId="5" borderId="11" xfId="3" applyNumberFormat="1" applyFont="1" applyFill="1" applyBorder="1" applyAlignment="1">
      <alignment horizontal="center" vertical="center" wrapText="1"/>
    </xf>
    <xf numFmtId="0" fontId="11" fillId="0" borderId="8" xfId="14" applyFont="1" applyBorder="1" applyAlignment="1">
      <alignment horizontal="center" vertical="center" wrapText="1"/>
    </xf>
    <xf numFmtId="3" fontId="11" fillId="0" borderId="8" xfId="3" applyNumberFormat="1" applyFont="1" applyBorder="1" applyAlignment="1">
      <alignment horizontal="center" vertical="center" wrapText="1"/>
    </xf>
    <xf numFmtId="0" fontId="11" fillId="0" borderId="8" xfId="14" applyFont="1" applyBorder="1" applyAlignment="1">
      <alignment horizontal="center" vertical="center" textRotation="90" wrapText="1"/>
    </xf>
    <xf numFmtId="49" fontId="11" fillId="0" borderId="8" xfId="14" applyNumberFormat="1" applyFont="1" applyBorder="1" applyAlignment="1">
      <alignment horizontal="center" vertical="center" wrapText="1"/>
    </xf>
    <xf numFmtId="0" fontId="11" fillId="0" borderId="8" xfId="14" applyFont="1" applyBorder="1" applyAlignment="1">
      <alignment vertical="center" wrapText="1"/>
    </xf>
    <xf numFmtId="164" fontId="11" fillId="16" borderId="8" xfId="14" applyNumberFormat="1" applyFont="1" applyFill="1" applyBorder="1" applyAlignment="1">
      <alignment horizontal="center" vertical="center" wrapText="1"/>
    </xf>
    <xf numFmtId="165" fontId="11" fillId="16" borderId="8" xfId="14" applyNumberFormat="1" applyFont="1" applyFill="1" applyBorder="1" applyAlignment="1">
      <alignment horizontal="center" vertical="center" wrapText="1"/>
    </xf>
    <xf numFmtId="49" fontId="11" fillId="2" borderId="8" xfId="14" applyNumberFormat="1" applyFont="1" applyFill="1" applyBorder="1" applyAlignment="1">
      <alignment horizontal="center" vertical="center" wrapText="1"/>
    </xf>
    <xf numFmtId="0" fontId="11" fillId="2" borderId="8" xfId="14" applyFont="1" applyFill="1" applyBorder="1" applyAlignment="1">
      <alignment horizontal="center" vertical="center" wrapText="1"/>
    </xf>
    <xf numFmtId="49" fontId="14" fillId="0" borderId="8" xfId="14" applyNumberFormat="1" applyFont="1" applyBorder="1" applyAlignment="1">
      <alignment horizontal="center" vertical="center" wrapText="1"/>
    </xf>
    <xf numFmtId="0" fontId="14" fillId="0" borderId="8" xfId="14" applyFont="1" applyBorder="1" applyAlignment="1">
      <alignment vertical="center" wrapText="1"/>
    </xf>
    <xf numFmtId="0" fontId="11" fillId="5" borderId="8" xfId="14" applyFont="1" applyFill="1" applyBorder="1"/>
    <xf numFmtId="49" fontId="11" fillId="0" borderId="17" xfId="14" applyNumberFormat="1" applyFont="1" applyBorder="1" applyAlignment="1">
      <alignment horizontal="center" vertical="center" wrapText="1"/>
    </xf>
    <xf numFmtId="164" fontId="11" fillId="16" borderId="8" xfId="3" applyNumberFormat="1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vertical="center" wrapText="1"/>
    </xf>
    <xf numFmtId="164" fontId="11" fillId="2" borderId="17" xfId="3" applyNumberFormat="1" applyFont="1" applyFill="1" applyBorder="1" applyAlignment="1">
      <alignment horizontal="left" vertical="center" wrapText="1"/>
    </xf>
    <xf numFmtId="0" fontId="8" fillId="2" borderId="8" xfId="3" applyFill="1" applyBorder="1"/>
    <xf numFmtId="49" fontId="27" fillId="0" borderId="8" xfId="14" quotePrefix="1" applyNumberFormat="1" applyFont="1" applyBorder="1" applyAlignment="1">
      <alignment horizontal="center" vertical="center" wrapText="1"/>
    </xf>
    <xf numFmtId="49" fontId="11" fillId="0" borderId="8" xfId="14" quotePrefix="1" applyNumberFormat="1" applyFont="1" applyBorder="1" applyAlignment="1">
      <alignment horizontal="center" vertical="center" wrapText="1"/>
    </xf>
    <xf numFmtId="0" fontId="11" fillId="2" borderId="8" xfId="3" applyFont="1" applyFill="1" applyBorder="1" applyAlignment="1">
      <alignment wrapText="1"/>
    </xf>
    <xf numFmtId="0" fontId="11" fillId="2" borderId="8" xfId="3" applyFont="1" applyFill="1" applyBorder="1" applyAlignment="1">
      <alignment horizontal="center"/>
    </xf>
    <xf numFmtId="0" fontId="11" fillId="14" borderId="34" xfId="3" applyFont="1" applyFill="1" applyBorder="1" applyAlignment="1">
      <alignment horizontal="center" wrapText="1"/>
    </xf>
    <xf numFmtId="0" fontId="11" fillId="2" borderId="11" xfId="3" applyFont="1" applyFill="1" applyBorder="1" applyAlignment="1">
      <alignment horizontal="center"/>
    </xf>
    <xf numFmtId="165" fontId="11" fillId="16" borderId="11" xfId="3" applyNumberFormat="1" applyFont="1" applyFill="1" applyBorder="1" applyAlignment="1">
      <alignment horizontal="center"/>
    </xf>
    <xf numFmtId="0" fontId="11" fillId="7" borderId="8" xfId="3" applyFont="1" applyFill="1" applyBorder="1" applyAlignment="1">
      <alignment horizontal="left" vertical="center" wrapText="1"/>
    </xf>
    <xf numFmtId="164" fontId="14" fillId="16" borderId="8" xfId="14" applyNumberFormat="1" applyFont="1" applyFill="1" applyBorder="1" applyAlignment="1">
      <alignment horizontal="center" vertical="center" wrapText="1"/>
    </xf>
    <xf numFmtId="0" fontId="28" fillId="0" borderId="8" xfId="14" applyFont="1" applyBorder="1" applyAlignment="1">
      <alignment vertical="center" wrapText="1"/>
    </xf>
    <xf numFmtId="164" fontId="11" fillId="9" borderId="8" xfId="14" applyNumberFormat="1" applyFont="1" applyFill="1" applyBorder="1" applyAlignment="1">
      <alignment horizontal="center" vertical="center" wrapText="1"/>
    </xf>
    <xf numFmtId="0" fontId="25" fillId="0" borderId="8" xfId="14" applyBorder="1"/>
    <xf numFmtId="164" fontId="14" fillId="16" borderId="8" xfId="3" applyNumberFormat="1" applyFont="1" applyFill="1" applyBorder="1" applyAlignment="1">
      <alignment horizontal="center" vertical="center" wrapText="1"/>
    </xf>
    <xf numFmtId="0" fontId="11" fillId="0" borderId="8" xfId="14" quotePrefix="1" applyFont="1" applyBorder="1" applyAlignment="1">
      <alignment horizontal="center" vertical="center" wrapText="1"/>
    </xf>
    <xf numFmtId="0" fontId="14" fillId="2" borderId="8" xfId="14" applyFont="1" applyFill="1" applyBorder="1" applyAlignment="1">
      <alignment vertical="center" wrapText="1"/>
    </xf>
    <xf numFmtId="0" fontId="14" fillId="0" borderId="8" xfId="14" quotePrefix="1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49" fontId="11" fillId="0" borderId="8" xfId="14" applyNumberFormat="1" applyFont="1" applyBorder="1" applyAlignment="1">
      <alignment horizontal="center" vertical="center"/>
    </xf>
    <xf numFmtId="0" fontId="11" fillId="0" borderId="8" xfId="14" applyFont="1" applyBorder="1" applyAlignment="1">
      <alignment horizontal="center" vertical="center"/>
    </xf>
    <xf numFmtId="0" fontId="14" fillId="0" borderId="8" xfId="14" applyFont="1" applyBorder="1" applyAlignment="1">
      <alignment horizontal="right" vertical="center" wrapText="1"/>
    </xf>
    <xf numFmtId="0" fontId="14" fillId="2" borderId="8" xfId="14" applyFont="1" applyFill="1" applyBorder="1" applyAlignment="1">
      <alignment horizontal="right" vertical="center" wrapText="1"/>
    </xf>
    <xf numFmtId="0" fontId="14" fillId="0" borderId="8" xfId="3" applyFont="1" applyBorder="1" applyAlignment="1">
      <alignment horizontal="right" vertical="center" wrapText="1"/>
    </xf>
    <xf numFmtId="164" fontId="12" fillId="16" borderId="8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textRotation="255" wrapText="1"/>
    </xf>
    <xf numFmtId="0" fontId="11" fillId="20" borderId="8" xfId="3" applyFont="1" applyFill="1" applyBorder="1" applyAlignment="1">
      <alignment horizontal="left" vertical="center" wrapText="1"/>
    </xf>
    <xf numFmtId="167" fontId="11" fillId="0" borderId="8" xfId="3" applyNumberFormat="1" applyFont="1" applyBorder="1" applyAlignment="1">
      <alignment horizontal="center" vertical="center"/>
    </xf>
    <xf numFmtId="0" fontId="12" fillId="5" borderId="11" xfId="3" applyFont="1" applyFill="1" applyBorder="1" applyAlignment="1">
      <alignment horizontal="center" vertical="center" textRotation="90" wrapText="1"/>
    </xf>
    <xf numFmtId="0" fontId="12" fillId="5" borderId="11" xfId="3" applyFont="1" applyFill="1" applyBorder="1" applyAlignment="1">
      <alignment vertical="center" wrapText="1"/>
    </xf>
    <xf numFmtId="49" fontId="12" fillId="15" borderId="8" xfId="3" quotePrefix="1" applyNumberFormat="1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left" vertical="center" wrapText="1"/>
    </xf>
    <xf numFmtId="3" fontId="11" fillId="0" borderId="8" xfId="3" applyNumberFormat="1" applyFont="1" applyBorder="1" applyAlignment="1">
      <alignment horizontal="center" wrapText="1"/>
    </xf>
    <xf numFmtId="0" fontId="12" fillId="23" borderId="8" xfId="3" applyFont="1" applyFill="1" applyBorder="1" applyAlignment="1">
      <alignment horizontal="center" vertical="center" wrapText="1"/>
    </xf>
    <xf numFmtId="164" fontId="12" fillId="23" borderId="8" xfId="3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/>
    </xf>
    <xf numFmtId="0" fontId="11" fillId="2" borderId="8" xfId="3" applyFont="1" applyFill="1" applyBorder="1" applyAlignment="1">
      <alignment horizontal="center" wrapText="1"/>
    </xf>
    <xf numFmtId="0" fontId="11" fillId="12" borderId="8" xfId="3" applyFont="1" applyFill="1" applyBorder="1" applyAlignment="1">
      <alignment horizontal="right" vertical="center"/>
    </xf>
    <xf numFmtId="0" fontId="12" fillId="9" borderId="8" xfId="3" applyFont="1" applyFill="1" applyBorder="1" applyAlignment="1">
      <alignment horizontal="center" vertical="center" wrapText="1"/>
    </xf>
    <xf numFmtId="0" fontId="11" fillId="12" borderId="8" xfId="3" applyFont="1" applyFill="1" applyBorder="1" applyAlignment="1">
      <alignment vertical="center" wrapText="1"/>
    </xf>
    <xf numFmtId="0" fontId="11" fillId="12" borderId="8" xfId="3" applyFont="1" applyFill="1" applyBorder="1" applyAlignment="1">
      <alignment horizontal="center" vertical="center"/>
    </xf>
    <xf numFmtId="0" fontId="12" fillId="11" borderId="8" xfId="3" applyFont="1" applyFill="1" applyBorder="1" applyAlignment="1">
      <alignment horizontal="center" vertical="center" wrapText="1"/>
    </xf>
    <xf numFmtId="164" fontId="12" fillId="11" borderId="8" xfId="3" applyNumberFormat="1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shrinkToFit="1"/>
    </xf>
    <xf numFmtId="0" fontId="12" fillId="5" borderId="8" xfId="3" applyFont="1" applyFill="1" applyBorder="1" applyAlignment="1">
      <alignment vertical="center" wrapText="1"/>
    </xf>
    <xf numFmtId="0" fontId="18" fillId="2" borderId="8" xfId="8" applyFont="1" applyFill="1" applyBorder="1" applyAlignment="1">
      <alignment horizontal="center"/>
    </xf>
    <xf numFmtId="0" fontId="18" fillId="0" borderId="8" xfId="8" applyFont="1" applyBorder="1" applyAlignment="1">
      <alignment horizontal="center"/>
    </xf>
    <xf numFmtId="49" fontId="11" fillId="2" borderId="8" xfId="3" applyNumberFormat="1" applyFont="1" applyFill="1" applyBorder="1" applyAlignment="1">
      <alignment horizontal="center" wrapText="1"/>
    </xf>
    <xf numFmtId="49" fontId="11" fillId="2" borderId="8" xfId="3" applyNumberFormat="1" applyFont="1" applyFill="1" applyBorder="1" applyAlignment="1">
      <alignment horizontal="center"/>
    </xf>
    <xf numFmtId="0" fontId="12" fillId="5" borderId="8" xfId="3" applyFont="1" applyFill="1" applyBorder="1" applyAlignment="1">
      <alignment horizontal="center" vertical="center" textRotation="90" wrapText="1"/>
    </xf>
    <xf numFmtId="0" fontId="11" fillId="2" borderId="8" xfId="8" applyFont="1" applyFill="1" applyBorder="1" applyAlignment="1">
      <alignment horizontal="center"/>
    </xf>
    <xf numFmtId="0" fontId="11" fillId="12" borderId="8" xfId="3" applyFont="1" applyFill="1" applyBorder="1" applyAlignment="1">
      <alignment horizontal="left" vertical="center" wrapText="1"/>
    </xf>
    <xf numFmtId="0" fontId="11" fillId="12" borderId="15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164" fontId="11" fillId="0" borderId="0" xfId="3" applyNumberFormat="1" applyFont="1" applyAlignment="1">
      <alignment horizontal="center" vertical="center" wrapText="1"/>
    </xf>
    <xf numFmtId="165" fontId="11" fillId="0" borderId="8" xfId="0" applyNumberFormat="1" applyFont="1" applyBorder="1" applyAlignment="1" applyProtection="1">
      <alignment horizontal="left" vertical="center" wrapText="1"/>
      <protection locked="0"/>
    </xf>
    <xf numFmtId="0" fontId="11" fillId="10" borderId="8" xfId="0" applyFont="1" applyFill="1" applyBorder="1" applyAlignment="1" applyProtection="1">
      <alignment horizontal="center" vertical="center" wrapText="1"/>
      <protection locked="0"/>
    </xf>
    <xf numFmtId="165" fontId="11" fillId="10" borderId="8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8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8" xfId="14" applyFont="1" applyBorder="1" applyAlignment="1" applyProtection="1">
      <alignment horizontal="left" vertical="center" wrapText="1"/>
      <protection locked="0"/>
    </xf>
    <xf numFmtId="0" fontId="11" fillId="0" borderId="8" xfId="14" applyFont="1" applyBorder="1" applyAlignment="1" applyProtection="1">
      <alignment horizontal="center" vertical="center"/>
      <protection locked="0"/>
    </xf>
    <xf numFmtId="0" fontId="11" fillId="2" borderId="8" xfId="14" applyFont="1" applyFill="1" applyBorder="1" applyAlignment="1" applyProtection="1">
      <alignment horizontal="left" vertical="center" wrapText="1"/>
      <protection locked="0"/>
    </xf>
    <xf numFmtId="0" fontId="11" fillId="0" borderId="19" xfId="14" applyFont="1" applyBorder="1" applyAlignment="1" applyProtection="1">
      <alignment horizontal="left" vertical="center" wrapText="1"/>
      <protection locked="0"/>
    </xf>
    <xf numFmtId="0" fontId="11" fillId="2" borderId="17" xfId="14" applyFont="1" applyFill="1" applyBorder="1" applyAlignment="1" applyProtection="1">
      <alignment horizontal="left" vertical="center" wrapText="1"/>
      <protection locked="0"/>
    </xf>
    <xf numFmtId="0" fontId="14" fillId="0" borderId="8" xfId="14" applyFont="1" applyBorder="1" applyAlignment="1" applyProtection="1">
      <alignment horizontal="left" vertical="center" wrapText="1"/>
      <protection locked="0"/>
    </xf>
    <xf numFmtId="0" fontId="28" fillId="0" borderId="8" xfId="14" applyFont="1" applyBorder="1" applyAlignment="1" applyProtection="1">
      <alignment horizontal="left" vertical="center" wrapText="1"/>
      <protection locked="0"/>
    </xf>
    <xf numFmtId="0" fontId="28" fillId="0" borderId="19" xfId="14" applyFont="1" applyBorder="1" applyAlignment="1" applyProtection="1">
      <alignment horizontal="left" vertical="center" wrapText="1"/>
      <protection locked="0"/>
    </xf>
    <xf numFmtId="0" fontId="28" fillId="0" borderId="8" xfId="14" applyFont="1" applyBorder="1" applyAlignment="1" applyProtection="1">
      <alignment horizontal="center" vertical="center"/>
      <protection locked="0"/>
    </xf>
    <xf numFmtId="0" fontId="28" fillId="0" borderId="8" xfId="14" quotePrefix="1" applyFont="1" applyBorder="1" applyAlignment="1" applyProtection="1">
      <alignment horizontal="center" vertical="center"/>
      <protection locked="0"/>
    </xf>
    <xf numFmtId="0" fontId="22" fillId="0" borderId="19" xfId="14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wrapText="1"/>
      <protection locked="0"/>
    </xf>
    <xf numFmtId="0" fontId="8" fillId="0" borderId="0" xfId="3" applyAlignment="1" applyProtection="1">
      <alignment horizontal="left"/>
      <protection locked="0"/>
    </xf>
    <xf numFmtId="3" fontId="11" fillId="0" borderId="19" xfId="15" applyNumberFormat="1" applyFont="1" applyBorder="1" applyAlignment="1" applyProtection="1">
      <alignment horizontal="left" vertical="center" wrapText="1"/>
      <protection locked="0"/>
    </xf>
    <xf numFmtId="0" fontId="28" fillId="0" borderId="17" xfId="14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3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3" applyFont="1" applyBorder="1" applyAlignment="1" applyProtection="1">
      <alignment horizontal="left" vertical="center" wrapText="1"/>
      <protection locked="0"/>
    </xf>
    <xf numFmtId="0" fontId="3" fillId="0" borderId="48" xfId="3" applyFont="1" applyBorder="1" applyAlignment="1" applyProtection="1">
      <alignment horizontal="left" vertical="center" wrapText="1"/>
      <protection locked="0"/>
    </xf>
    <xf numFmtId="0" fontId="3" fillId="0" borderId="34" xfId="3" applyFont="1" applyBorder="1" applyAlignment="1" applyProtection="1">
      <alignment horizontal="left" vertical="center" wrapText="1"/>
      <protection locked="0"/>
    </xf>
    <xf numFmtId="0" fontId="3" fillId="0" borderId="15" xfId="3" applyFont="1" applyBorder="1" applyAlignment="1">
      <alignment vertical="center" wrapText="1"/>
    </xf>
    <xf numFmtId="0" fontId="3" fillId="0" borderId="15" xfId="3" applyFont="1" applyBorder="1" applyAlignment="1">
      <alignment horizontal="right"/>
    </xf>
    <xf numFmtId="0" fontId="3" fillId="0" borderId="8" xfId="3" applyFont="1" applyBorder="1" applyAlignment="1">
      <alignment horizontal="left"/>
    </xf>
    <xf numFmtId="0" fontId="3" fillId="2" borderId="8" xfId="3" applyFont="1" applyFill="1" applyBorder="1" applyAlignment="1">
      <alignment horizontal="left"/>
    </xf>
    <xf numFmtId="0" fontId="3" fillId="0" borderId="8" xfId="3" applyFont="1" applyBorder="1" applyAlignment="1">
      <alignment horizontal="center" vertical="center"/>
    </xf>
    <xf numFmtId="0" fontId="3" fillId="0" borderId="15" xfId="8" applyFont="1" applyBorder="1" applyAlignment="1">
      <alignment horizontal="center"/>
    </xf>
    <xf numFmtId="0" fontId="3" fillId="0" borderId="8" xfId="8" applyFont="1" applyBorder="1" applyAlignment="1">
      <alignment horizontal="center" vertical="center"/>
    </xf>
    <xf numFmtId="49" fontId="3" fillId="0" borderId="8" xfId="12" applyNumberFormat="1" applyFont="1" applyBorder="1" applyAlignment="1">
      <alignment horizontal="center"/>
    </xf>
    <xf numFmtId="0" fontId="3" fillId="0" borderId="8" xfId="12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164" fontId="3" fillId="16" borderId="8" xfId="14" applyNumberFormat="1" applyFont="1" applyFill="1" applyBorder="1" applyAlignment="1">
      <alignment horizontal="center" vertical="center" wrapText="1"/>
    </xf>
    <xf numFmtId="165" fontId="3" fillId="16" borderId="8" xfId="14" applyNumberFormat="1" applyFont="1" applyFill="1" applyBorder="1" applyAlignment="1">
      <alignment horizontal="center" vertical="center" wrapText="1"/>
    </xf>
    <xf numFmtId="164" fontId="3" fillId="0" borderId="8" xfId="10" applyNumberFormat="1" applyFont="1" applyBorder="1" applyAlignment="1" applyProtection="1">
      <alignment horizontal="left" vertical="center" wrapText="1"/>
      <protection locked="0"/>
    </xf>
    <xf numFmtId="0" fontId="3" fillId="0" borderId="8" xfId="16" applyFont="1" applyFill="1" applyBorder="1" applyAlignment="1" applyProtection="1">
      <alignment vertical="center" wrapText="1"/>
    </xf>
    <xf numFmtId="0" fontId="3" fillId="0" borderId="8" xfId="3" applyFont="1" applyBorder="1" applyAlignment="1">
      <alignment vertical="center" wrapText="1"/>
    </xf>
    <xf numFmtId="0" fontId="3" fillId="0" borderId="8" xfId="8" applyFont="1" applyBorder="1" applyAlignment="1">
      <alignment horizontal="center"/>
    </xf>
    <xf numFmtId="0" fontId="3" fillId="0" borderId="8" xfId="8" applyFont="1" applyBorder="1" applyAlignment="1" applyProtection="1">
      <alignment vertical="center" wrapText="1"/>
      <protection locked="0"/>
    </xf>
    <xf numFmtId="0" fontId="3" fillId="0" borderId="19" xfId="8" applyFont="1" applyBorder="1" applyAlignment="1" applyProtection="1">
      <alignment horizontal="left" vertical="center" wrapText="1"/>
      <protection locked="0"/>
    </xf>
    <xf numFmtId="49" fontId="3" fillId="0" borderId="8" xfId="8" applyNumberFormat="1" applyFont="1" applyBorder="1"/>
    <xf numFmtId="0" fontId="3" fillId="0" borderId="8" xfId="8" applyFont="1" applyBorder="1" applyAlignment="1">
      <alignment vertical="center" wrapText="1"/>
    </xf>
    <xf numFmtId="0" fontId="3" fillId="2" borderId="8" xfId="8" applyFont="1" applyFill="1" applyBorder="1" applyAlignment="1">
      <alignment horizontal="center"/>
    </xf>
    <xf numFmtId="0" fontId="3" fillId="2" borderId="8" xfId="8" applyFont="1" applyFill="1" applyBorder="1" applyAlignment="1">
      <alignment horizontal="center" vertical="center"/>
    </xf>
    <xf numFmtId="0" fontId="3" fillId="0" borderId="8" xfId="8" applyFont="1" applyBorder="1" applyAlignment="1" applyProtection="1">
      <alignment horizontal="center" vertical="center"/>
      <protection locked="0"/>
    </xf>
    <xf numFmtId="0" fontId="3" fillId="0" borderId="8" xfId="8" applyFont="1" applyBorder="1" applyAlignment="1">
      <alignment horizontal="left" vertical="center" wrapText="1"/>
    </xf>
    <xf numFmtId="0" fontId="3" fillId="0" borderId="8" xfId="8" applyFont="1" applyBorder="1" applyAlignment="1">
      <alignment vertical="center"/>
    </xf>
    <xf numFmtId="164" fontId="3" fillId="0" borderId="8" xfId="8" applyNumberFormat="1" applyFont="1" applyBorder="1" applyAlignment="1" applyProtection="1">
      <alignment vertical="center" wrapText="1"/>
      <protection locked="0"/>
    </xf>
    <xf numFmtId="0" fontId="3" fillId="0" borderId="36" xfId="8" applyFont="1" applyBorder="1" applyAlignment="1" applyProtection="1">
      <alignment horizontal="left" vertical="center" wrapText="1"/>
      <protection locked="0"/>
    </xf>
    <xf numFmtId="0" fontId="3" fillId="0" borderId="45" xfId="8" applyFont="1" applyBorder="1" applyAlignment="1" applyProtection="1">
      <alignment horizontal="left" vertical="center" wrapText="1"/>
      <protection locked="0"/>
    </xf>
    <xf numFmtId="0" fontId="3" fillId="0" borderId="34" xfId="8" applyFont="1" applyBorder="1" applyAlignment="1" applyProtection="1">
      <alignment horizontal="left" vertical="center" wrapText="1"/>
      <protection locked="0"/>
    </xf>
    <xf numFmtId="0" fontId="3" fillId="2" borderId="8" xfId="8" applyFont="1" applyFill="1" applyBorder="1" applyAlignment="1" applyProtection="1">
      <alignment vertical="center" wrapText="1"/>
      <protection locked="0"/>
    </xf>
    <xf numFmtId="0" fontId="3" fillId="2" borderId="8" xfId="8" applyFont="1" applyFill="1" applyBorder="1" applyAlignment="1" applyProtection="1">
      <alignment horizontal="center" vertical="center"/>
      <protection locked="0"/>
    </xf>
    <xf numFmtId="0" fontId="3" fillId="0" borderId="8" xfId="8" applyFont="1" applyBorder="1" applyAlignment="1" applyProtection="1">
      <alignment horizontal="left" vertical="center" wrapText="1"/>
      <protection locked="0"/>
    </xf>
    <xf numFmtId="0" fontId="3" fillId="0" borderId="8" xfId="8" applyFont="1" applyBorder="1" applyAlignment="1">
      <alignment horizontal="right" vertical="center" wrapText="1"/>
    </xf>
    <xf numFmtId="0" fontId="3" fillId="0" borderId="8" xfId="3" applyFont="1" applyBorder="1" applyAlignment="1" applyProtection="1">
      <alignment vertical="center" wrapText="1"/>
      <protection locked="0"/>
    </xf>
    <xf numFmtId="49" fontId="3" fillId="0" borderId="8" xfId="8" applyNumberFormat="1" applyFont="1" applyBorder="1" applyAlignment="1">
      <alignment horizontal="center" vertical="center"/>
    </xf>
    <xf numFmtId="3" fontId="3" fillId="0" borderId="8" xfId="3" applyNumberFormat="1" applyFont="1" applyBorder="1" applyAlignment="1" applyProtection="1">
      <alignment vertical="center" wrapText="1"/>
      <protection locked="0"/>
    </xf>
    <xf numFmtId="0" fontId="3" fillId="0" borderId="8" xfId="8" applyFont="1" applyBorder="1" applyAlignment="1" applyProtection="1">
      <alignment horizontal="center" vertical="center" wrapText="1"/>
      <protection locked="0"/>
    </xf>
    <xf numFmtId="0" fontId="3" fillId="0" borderId="8" xfId="8" applyFont="1" applyBorder="1"/>
    <xf numFmtId="0" fontId="3" fillId="2" borderId="8" xfId="8" applyFont="1" applyFill="1" applyBorder="1" applyAlignment="1">
      <alignment vertical="center" wrapText="1"/>
    </xf>
    <xf numFmtId="0" fontId="3" fillId="2" borderId="19" xfId="8" applyFont="1" applyFill="1" applyBorder="1" applyAlignment="1" applyProtection="1">
      <alignment horizontal="left" vertical="center" wrapText="1"/>
      <protection locked="0"/>
    </xf>
    <xf numFmtId="49" fontId="3" fillId="0" borderId="15" xfId="8" applyNumberFormat="1" applyFont="1" applyBorder="1"/>
    <xf numFmtId="0" fontId="3" fillId="0" borderId="15" xfId="8" applyFont="1" applyBorder="1" applyAlignment="1">
      <alignment horizontal="center" vertical="center"/>
    </xf>
    <xf numFmtId="0" fontId="8" fillId="0" borderId="51" xfId="0" applyFont="1" applyBorder="1" applyAlignment="1">
      <alignment horizontal="center"/>
    </xf>
    <xf numFmtId="0" fontId="14" fillId="2" borderId="19" xfId="3" applyFont="1" applyFill="1" applyBorder="1" applyAlignment="1" applyProtection="1">
      <alignment horizontal="left" vertical="center" wrapText="1"/>
      <protection locked="0"/>
    </xf>
    <xf numFmtId="0" fontId="3" fillId="2" borderId="8" xfId="3" applyFont="1" applyFill="1" applyBorder="1" applyAlignment="1" applyProtection="1">
      <alignment horizontal="left" vertical="center" wrapText="1"/>
      <protection locked="0"/>
    </xf>
    <xf numFmtId="0" fontId="3" fillId="2" borderId="8" xfId="3" applyFont="1" applyFill="1" applyBorder="1" applyAlignment="1" applyProtection="1">
      <alignment horizontal="center" vertical="center" wrapText="1"/>
      <protection locked="0"/>
    </xf>
    <xf numFmtId="165" fontId="11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18" xfId="14" applyFont="1" applyBorder="1" applyProtection="1">
      <protection locked="0"/>
    </xf>
    <xf numFmtId="0" fontId="11" fillId="0" borderId="52" xfId="14" applyFont="1" applyBorder="1" applyProtection="1">
      <protection locked="0"/>
    </xf>
    <xf numFmtId="0" fontId="25" fillId="0" borderId="40" xfId="14" applyBorder="1" applyProtection="1">
      <protection locked="0"/>
    </xf>
    <xf numFmtId="0" fontId="28" fillId="0" borderId="33" xfId="14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wrapText="1"/>
      <protection locked="0"/>
    </xf>
    <xf numFmtId="0" fontId="11" fillId="2" borderId="8" xfId="0" applyFont="1" applyFill="1" applyBorder="1" applyAlignment="1" applyProtection="1">
      <alignment wrapText="1"/>
      <protection locked="0"/>
    </xf>
    <xf numFmtId="164" fontId="11" fillId="2" borderId="8" xfId="3" applyNumberFormat="1" applyFont="1" applyFill="1" applyBorder="1" applyAlignment="1" applyProtection="1">
      <alignment vertical="center" wrapText="1"/>
      <protection locked="0"/>
    </xf>
    <xf numFmtId="165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164" fontId="11" fillId="2" borderId="19" xfId="3" applyNumberFormat="1" applyFont="1" applyFill="1" applyBorder="1" applyAlignment="1" applyProtection="1">
      <alignment vertical="center" wrapText="1"/>
      <protection locked="0"/>
    </xf>
    <xf numFmtId="0" fontId="14" fillId="2" borderId="8" xfId="0" applyFont="1" applyFill="1" applyBorder="1" applyAlignment="1" applyProtection="1">
      <alignment horizontal="left" wrapText="1"/>
      <protection locked="0"/>
    </xf>
    <xf numFmtId="0" fontId="14" fillId="2" borderId="8" xfId="0" applyFont="1" applyFill="1" applyBorder="1" applyAlignment="1" applyProtection="1">
      <alignment horizontal="center"/>
      <protection locked="0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 wrapText="1"/>
    </xf>
    <xf numFmtId="0" fontId="14" fillId="0" borderId="15" xfId="3" applyFont="1" applyBorder="1" applyAlignment="1">
      <alignment horizontal="left" vertical="center" wrapText="1"/>
    </xf>
    <xf numFmtId="165" fontId="11" fillId="10" borderId="19" xfId="0" applyNumberFormat="1" applyFont="1" applyFill="1" applyBorder="1" applyAlignment="1" applyProtection="1">
      <alignment horizontal="left" vertical="center" wrapText="1"/>
      <protection locked="0"/>
    </xf>
    <xf numFmtId="0" fontId="11" fillId="10" borderId="19" xfId="0" applyFont="1" applyFill="1" applyBorder="1" applyAlignment="1" applyProtection="1">
      <alignment wrapText="1"/>
      <protection locked="0"/>
    </xf>
    <xf numFmtId="164" fontId="39" fillId="2" borderId="8" xfId="3" applyNumberFormat="1" applyFont="1" applyFill="1" applyBorder="1" applyAlignment="1" applyProtection="1">
      <alignment vertical="center" wrapText="1"/>
      <protection locked="0"/>
    </xf>
    <xf numFmtId="165" fontId="39" fillId="2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3" applyNumberFormat="1" applyFont="1" applyFill="1" applyBorder="1" applyAlignment="1" applyProtection="1">
      <alignment vertical="center" wrapText="1"/>
      <protection locked="0"/>
    </xf>
    <xf numFmtId="164" fontId="11" fillId="0" borderId="19" xfId="3" applyNumberFormat="1" applyFont="1" applyBorder="1" applyAlignment="1" applyProtection="1">
      <alignment vertical="center" wrapText="1"/>
      <protection locked="0"/>
    </xf>
    <xf numFmtId="3" fontId="11" fillId="0" borderId="8" xfId="5" applyNumberFormat="1" applyFont="1" applyBorder="1" applyAlignment="1" applyProtection="1">
      <alignment horizontal="left" vertical="center" wrapText="1"/>
      <protection locked="0"/>
    </xf>
    <xf numFmtId="3" fontId="11" fillId="0" borderId="8" xfId="5" applyNumberFormat="1" applyFont="1" applyBorder="1" applyAlignment="1" applyProtection="1">
      <alignment horizontal="center" vertical="center" wrapText="1"/>
      <protection locked="0"/>
    </xf>
    <xf numFmtId="164" fontId="3" fillId="0" borderId="19" xfId="3" applyNumberFormat="1" applyFont="1" applyBorder="1" applyAlignment="1" applyProtection="1">
      <alignment vertical="center" wrapText="1"/>
      <protection locked="0"/>
    </xf>
    <xf numFmtId="0" fontId="14" fillId="0" borderId="19" xfId="3" applyFont="1" applyBorder="1" applyAlignment="1" applyProtection="1">
      <alignment horizontal="left" vertical="center" wrapText="1"/>
      <protection locked="0"/>
    </xf>
    <xf numFmtId="0" fontId="3" fillId="0" borderId="8" xfId="3" applyFont="1" applyBorder="1" applyAlignment="1" applyProtection="1">
      <alignment horizontal="left" vertical="center" wrapText="1"/>
      <protection locked="0"/>
    </xf>
    <xf numFmtId="0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37" xfId="3" applyFont="1" applyBorder="1" applyAlignment="1" applyProtection="1">
      <alignment horizontal="left" vertical="center" wrapText="1"/>
      <protection locked="0"/>
    </xf>
    <xf numFmtId="0" fontId="3" fillId="0" borderId="37" xfId="3" applyFont="1" applyBorder="1" applyAlignment="1" applyProtection="1">
      <alignment horizontal="center" vertical="center" wrapText="1"/>
      <protection locked="0"/>
    </xf>
    <xf numFmtId="0" fontId="3" fillId="0" borderId="45" xfId="3" applyFont="1" applyBorder="1" applyAlignment="1" applyProtection="1">
      <alignment horizontal="left" vertical="center" wrapText="1"/>
      <protection locked="0"/>
    </xf>
    <xf numFmtId="0" fontId="11" fillId="0" borderId="18" xfId="3" applyFont="1" applyBorder="1" applyAlignment="1" applyProtection="1">
      <alignment horizontal="left" vertical="center" wrapText="1"/>
      <protection locked="0"/>
    </xf>
    <xf numFmtId="0" fontId="3" fillId="0" borderId="18" xfId="3" applyFont="1" applyBorder="1" applyAlignment="1" applyProtection="1">
      <alignment horizontal="center" vertical="center" wrapText="1"/>
      <protection locked="0"/>
    </xf>
    <xf numFmtId="0" fontId="3" fillId="0" borderId="11" xfId="3" applyFont="1" applyBorder="1" applyAlignment="1" applyProtection="1">
      <alignment horizontal="center" vertical="center" wrapText="1"/>
      <protection locked="0"/>
    </xf>
    <xf numFmtId="0" fontId="14" fillId="0" borderId="8" xfId="3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center" vertical="center" wrapText="1"/>
      <protection locked="0"/>
    </xf>
    <xf numFmtId="0" fontId="14" fillId="0" borderId="8" xfId="3" applyFont="1" applyBorder="1" applyAlignment="1" applyProtection="1">
      <alignment horizontal="center" vertical="center"/>
      <protection locked="0"/>
    </xf>
    <xf numFmtId="164" fontId="14" fillId="0" borderId="19" xfId="3" applyNumberFormat="1" applyFont="1" applyBorder="1" applyAlignment="1" applyProtection="1">
      <alignment vertical="center" wrapText="1"/>
      <protection locked="0"/>
    </xf>
    <xf numFmtId="164" fontId="14" fillId="0" borderId="8" xfId="3" applyNumberFormat="1" applyFont="1" applyBorder="1" applyAlignment="1" applyProtection="1">
      <alignment horizontal="left" vertical="center" wrapText="1"/>
      <protection locked="0"/>
    </xf>
    <xf numFmtId="164" fontId="11" fillId="0" borderId="19" xfId="3" applyNumberFormat="1" applyFont="1" applyBorder="1" applyAlignment="1" applyProtection="1">
      <alignment horizontal="left" vertical="center" wrapText="1"/>
      <protection locked="0"/>
    </xf>
    <xf numFmtId="164" fontId="3" fillId="0" borderId="19" xfId="3" applyNumberFormat="1" applyFont="1" applyBorder="1" applyAlignment="1" applyProtection="1">
      <alignment horizontal="left" vertical="center" wrapText="1"/>
      <protection locked="0"/>
    </xf>
    <xf numFmtId="165" fontId="11" fillId="0" borderId="8" xfId="0" applyNumberFormat="1" applyFont="1" applyBorder="1" applyAlignment="1" applyProtection="1">
      <alignment horizontal="left" wrapText="1"/>
      <protection locked="0"/>
    </xf>
    <xf numFmtId="164" fontId="12" fillId="0" borderId="8" xfId="3" applyNumberFormat="1" applyFont="1" applyBorder="1" applyAlignment="1" applyProtection="1">
      <alignment horizontal="center" vertical="center" wrapText="1"/>
      <protection locked="0"/>
    </xf>
    <xf numFmtId="164" fontId="12" fillId="0" borderId="8" xfId="3" applyNumberFormat="1" applyFont="1" applyBorder="1" applyAlignment="1" applyProtection="1">
      <alignment horizontal="left" vertical="center" wrapText="1"/>
      <protection locked="0"/>
    </xf>
    <xf numFmtId="164" fontId="11" fillId="0" borderId="48" xfId="3" applyNumberFormat="1" applyFont="1" applyBorder="1" applyAlignment="1" applyProtection="1">
      <alignment vertical="center" wrapText="1"/>
      <protection locked="0"/>
    </xf>
    <xf numFmtId="164" fontId="39" fillId="0" borderId="8" xfId="3" applyNumberFormat="1" applyFont="1" applyBorder="1" applyAlignment="1" applyProtection="1">
      <alignment horizontal="left" vertical="center" wrapText="1"/>
      <protection locked="0"/>
    </xf>
    <xf numFmtId="164" fontId="39" fillId="0" borderId="15" xfId="3" applyNumberFormat="1" applyFont="1" applyBorder="1" applyAlignment="1" applyProtection="1">
      <alignment horizontal="left" vertical="center" wrapText="1"/>
      <protection locked="0"/>
    </xf>
    <xf numFmtId="0" fontId="11" fillId="0" borderId="15" xfId="3" applyFont="1" applyBorder="1" applyAlignment="1" applyProtection="1">
      <alignment horizontal="left" vertical="center" wrapText="1"/>
      <protection locked="0"/>
    </xf>
    <xf numFmtId="0" fontId="11" fillId="0" borderId="15" xfId="3" applyFont="1" applyBorder="1" applyAlignment="1" applyProtection="1">
      <alignment horizontal="center" vertical="center"/>
      <protection locked="0"/>
    </xf>
    <xf numFmtId="0" fontId="11" fillId="0" borderId="17" xfId="3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wrapText="1"/>
      <protection locked="0"/>
    </xf>
    <xf numFmtId="0" fontId="11" fillId="0" borderId="53" xfId="0" applyFont="1" applyBorder="1" applyAlignment="1" applyProtection="1">
      <alignment horizontal="center" wrapText="1"/>
      <protection locked="0"/>
    </xf>
    <xf numFmtId="0" fontId="11" fillId="0" borderId="8" xfId="11" applyFont="1" applyBorder="1" applyAlignment="1" applyProtection="1">
      <alignment horizontal="left" vertical="center" wrapText="1"/>
      <protection locked="0"/>
    </xf>
    <xf numFmtId="0" fontId="11" fillId="0" borderId="8" xfId="11" applyFont="1" applyBorder="1" applyAlignment="1" applyProtection="1">
      <alignment horizontal="left" vertical="center"/>
      <protection locked="0"/>
    </xf>
    <xf numFmtId="0" fontId="11" fillId="0" borderId="8" xfId="11" applyFont="1" applyBorder="1" applyAlignment="1" applyProtection="1">
      <alignment horizontal="center" vertical="center"/>
      <protection locked="0"/>
    </xf>
    <xf numFmtId="49" fontId="11" fillId="0" borderId="19" xfId="11" applyNumberFormat="1" applyFont="1" applyBorder="1" applyAlignment="1" applyProtection="1">
      <alignment horizontal="left" vertical="center"/>
      <protection locked="0"/>
    </xf>
    <xf numFmtId="0" fontId="11" fillId="0" borderId="8" xfId="11" applyFont="1" applyBorder="1" applyAlignment="1" applyProtection="1">
      <alignment vertical="center" wrapText="1"/>
      <protection locked="0"/>
    </xf>
    <xf numFmtId="0" fontId="11" fillId="0" borderId="8" xfId="3" applyFont="1" applyBorder="1" applyAlignment="1" applyProtection="1">
      <alignment horizontal="left" wrapText="1"/>
      <protection locked="0"/>
    </xf>
    <xf numFmtId="164" fontId="12" fillId="0" borderId="8" xfId="3" applyNumberFormat="1" applyFont="1" applyBorder="1" applyAlignment="1" applyProtection="1">
      <alignment horizontal="center" vertical="center"/>
      <protection locked="0"/>
    </xf>
    <xf numFmtId="0" fontId="11" fillId="0" borderId="45" xfId="11" applyFont="1" applyBorder="1" applyAlignment="1" applyProtection="1">
      <alignment horizontal="left" vertical="center" wrapText="1"/>
      <protection locked="0"/>
    </xf>
    <xf numFmtId="0" fontId="11" fillId="0" borderId="19" xfId="11" applyFont="1" applyBorder="1" applyAlignment="1" applyProtection="1">
      <alignment horizontal="center" vertical="center"/>
      <protection locked="0"/>
    </xf>
    <xf numFmtId="4" fontId="11" fillId="0" borderId="45" xfId="3" applyNumberFormat="1" applyFont="1" applyBorder="1" applyAlignment="1" applyProtection="1">
      <alignment wrapText="1"/>
      <protection locked="0"/>
    </xf>
    <xf numFmtId="0" fontId="11" fillId="0" borderId="8" xfId="12" applyFont="1" applyBorder="1" applyAlignment="1" applyProtection="1">
      <alignment horizontal="left" vertical="center" wrapText="1"/>
      <protection locked="0"/>
    </xf>
    <xf numFmtId="0" fontId="11" fillId="0" borderId="8" xfId="3" applyFont="1" applyBorder="1" applyAlignment="1" applyProtection="1">
      <alignment horizontal="center"/>
      <protection locked="0"/>
    </xf>
    <xf numFmtId="3" fontId="11" fillId="0" borderId="8" xfId="13" applyNumberFormat="1" applyFont="1" applyBorder="1" applyAlignment="1" applyProtection="1">
      <alignment horizontal="left" vertical="center" wrapText="1"/>
      <protection locked="0"/>
    </xf>
    <xf numFmtId="164" fontId="11" fillId="0" borderId="8" xfId="3" applyNumberFormat="1" applyFont="1" applyBorder="1" applyAlignment="1" applyProtection="1">
      <alignment vertical="center" wrapText="1"/>
      <protection locked="0"/>
    </xf>
    <xf numFmtId="0" fontId="11" fillId="0" borderId="8" xfId="13" applyFont="1" applyBorder="1" applyAlignment="1" applyProtection="1">
      <alignment horizontal="center" vertical="center" wrapText="1"/>
      <protection locked="0"/>
    </xf>
    <xf numFmtId="164" fontId="11" fillId="0" borderId="8" xfId="3" applyNumberFormat="1" applyFont="1" applyBorder="1" applyAlignment="1" applyProtection="1">
      <alignment horizontal="center" vertical="center" wrapText="1"/>
      <protection locked="0"/>
    </xf>
    <xf numFmtId="164" fontId="11" fillId="0" borderId="15" xfId="3" applyNumberFormat="1" applyFont="1" applyBorder="1" applyAlignment="1" applyProtection="1">
      <alignment vertical="center" wrapText="1"/>
      <protection locked="0"/>
    </xf>
    <xf numFmtId="0" fontId="11" fillId="0" borderId="15" xfId="3" applyFont="1" applyBorder="1" applyAlignment="1" applyProtection="1">
      <alignment horizontal="center"/>
      <protection locked="0"/>
    </xf>
    <xf numFmtId="164" fontId="11" fillId="0" borderId="11" xfId="3" applyNumberFormat="1" applyFont="1" applyBorder="1" applyAlignment="1" applyProtection="1">
      <alignment vertical="center" wrapText="1"/>
      <protection locked="0"/>
    </xf>
    <xf numFmtId="3" fontId="11" fillId="0" borderId="11" xfId="5" applyNumberFormat="1" applyFont="1" applyBorder="1" applyAlignment="1" applyProtection="1">
      <alignment horizontal="left" vertical="center" wrapText="1"/>
      <protection locked="0"/>
    </xf>
    <xf numFmtId="0" fontId="11" fillId="0" borderId="8" xfId="5" applyFont="1" applyBorder="1" applyAlignment="1" applyProtection="1">
      <alignment horizontal="left" vertical="center" wrapText="1"/>
      <protection locked="0"/>
    </xf>
    <xf numFmtId="0" fontId="11" fillId="0" borderId="8" xfId="5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5" fontId="14" fillId="0" borderId="8" xfId="0" applyNumberFormat="1" applyFont="1" applyBorder="1" applyAlignment="1" applyProtection="1">
      <alignment horizontal="center" wrapText="1"/>
      <protection locked="0"/>
    </xf>
    <xf numFmtId="3" fontId="14" fillId="0" borderId="8" xfId="0" applyNumberFormat="1" applyFont="1" applyBorder="1" applyAlignment="1" applyProtection="1">
      <alignment horizontal="center" wrapText="1"/>
      <protection locked="0"/>
    </xf>
    <xf numFmtId="0" fontId="11" fillId="0" borderId="15" xfId="3" applyFont="1" applyBorder="1" applyAlignment="1">
      <alignment horizontal="right" vertical="center" wrapText="1"/>
    </xf>
    <xf numFmtId="0" fontId="11" fillId="0" borderId="15" xfId="3" applyFont="1" applyBorder="1" applyAlignment="1">
      <alignment horizontal="right" wrapText="1"/>
    </xf>
    <xf numFmtId="0" fontId="6" fillId="0" borderId="57" xfId="0" applyFont="1" applyBorder="1" applyAlignment="1">
      <alignment wrapText="1"/>
    </xf>
    <xf numFmtId="0" fontId="0" fillId="0" borderId="15" xfId="0" applyBorder="1" applyAlignment="1">
      <alignment horizontal="center"/>
    </xf>
    <xf numFmtId="49" fontId="8" fillId="0" borderId="58" xfId="0" applyNumberFormat="1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3" fontId="4" fillId="29" borderId="8" xfId="0" applyNumberFormat="1" applyFont="1" applyFill="1" applyBorder="1" applyAlignment="1">
      <alignment horizontal="center" vertical="center" wrapText="1"/>
    </xf>
    <xf numFmtId="3" fontId="42" fillId="29" borderId="11" xfId="0" applyNumberFormat="1" applyFont="1" applyFill="1" applyBorder="1" applyAlignment="1">
      <alignment horizontal="center" vertical="center" wrapText="1"/>
    </xf>
    <xf numFmtId="3" fontId="4" fillId="29" borderId="1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1" fillId="0" borderId="15" xfId="3" applyNumberFormat="1" applyFont="1" applyBorder="1" applyAlignment="1">
      <alignment horizontal="center" vertical="center" wrapText="1"/>
    </xf>
    <xf numFmtId="164" fontId="11" fillId="0" borderId="18" xfId="3" applyNumberFormat="1" applyFont="1" applyBorder="1" applyAlignment="1">
      <alignment horizontal="center" vertical="center" wrapText="1"/>
    </xf>
    <xf numFmtId="164" fontId="11" fillId="0" borderId="11" xfId="3" applyNumberFormat="1" applyFont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3" xfId="0" applyFont="1" applyBorder="1"/>
    <xf numFmtId="0" fontId="2" fillId="0" borderId="8" xfId="8" applyFont="1" applyBorder="1" applyAlignment="1" applyProtection="1">
      <alignment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22" borderId="54" xfId="0" applyFont="1" applyFill="1" applyBorder="1" applyAlignment="1">
      <alignment horizontal="center" vertical="center" wrapText="1"/>
    </xf>
    <xf numFmtId="0" fontId="12" fillId="22" borderId="55" xfId="0" applyFont="1" applyFill="1" applyBorder="1" applyAlignment="1">
      <alignment horizontal="center" vertical="center" wrapText="1"/>
    </xf>
    <xf numFmtId="0" fontId="12" fillId="22" borderId="5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textRotation="90" wrapText="1"/>
    </xf>
    <xf numFmtId="0" fontId="11" fillId="3" borderId="28" xfId="0" applyFont="1" applyFill="1" applyBorder="1" applyAlignment="1">
      <alignment horizontal="center" vertical="center" textRotation="90" wrapText="1"/>
    </xf>
    <xf numFmtId="3" fontId="11" fillId="0" borderId="5" xfId="0" applyNumberFormat="1" applyFont="1" applyBorder="1" applyAlignment="1">
      <alignment horizontal="center" vertical="center" textRotation="90" wrapText="1"/>
    </xf>
    <xf numFmtId="3" fontId="11" fillId="0" borderId="13" xfId="0" applyNumberFormat="1" applyFont="1" applyBorder="1" applyAlignment="1">
      <alignment horizontal="center" vertical="center" textRotation="90" wrapText="1"/>
    </xf>
    <xf numFmtId="0" fontId="11" fillId="2" borderId="0" xfId="0" applyFont="1" applyFill="1" applyAlignment="1" applyProtection="1">
      <alignment horizontal="left" wrapText="1"/>
      <protection locked="0"/>
    </xf>
    <xf numFmtId="0" fontId="11" fillId="0" borderId="15" xfId="3" applyFont="1" applyBorder="1" applyAlignment="1">
      <alignment horizontal="left" vertical="center" wrapText="1"/>
    </xf>
    <xf numFmtId="0" fontId="11" fillId="0" borderId="21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  <xf numFmtId="164" fontId="11" fillId="9" borderId="15" xfId="3" applyNumberFormat="1" applyFont="1" applyFill="1" applyBorder="1" applyAlignment="1">
      <alignment horizontal="left" vertical="center" wrapText="1"/>
    </xf>
    <xf numFmtId="164" fontId="11" fillId="9" borderId="21" xfId="3" applyNumberFormat="1" applyFont="1" applyFill="1" applyBorder="1" applyAlignment="1">
      <alignment horizontal="left" vertical="center" wrapText="1"/>
    </xf>
    <xf numFmtId="164" fontId="11" fillId="9" borderId="11" xfId="3" applyNumberFormat="1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4" fillId="0" borderId="37" xfId="3" applyFont="1" applyBorder="1" applyAlignment="1">
      <alignment horizontal="left" vertical="center" wrapText="1"/>
    </xf>
    <xf numFmtId="0" fontId="14" fillId="0" borderId="30" xfId="3" applyFont="1" applyBorder="1" applyAlignment="1">
      <alignment horizontal="left" vertical="center" wrapText="1"/>
    </xf>
    <xf numFmtId="0" fontId="14" fillId="0" borderId="15" xfId="3" applyFont="1" applyBorder="1" applyAlignment="1">
      <alignment horizontal="left" vertical="center" wrapText="1"/>
    </xf>
    <xf numFmtId="0" fontId="14" fillId="0" borderId="21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9" borderId="15" xfId="0" applyFont="1" applyFill="1" applyBorder="1" applyAlignment="1">
      <alignment horizontal="left" vertical="center" wrapText="1"/>
    </xf>
    <xf numFmtId="0" fontId="11" fillId="9" borderId="21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4" fillId="9" borderId="15" xfId="0" applyFont="1" applyFill="1" applyBorder="1" applyAlignment="1">
      <alignment horizontal="left" vertical="center" wrapText="1"/>
    </xf>
    <xf numFmtId="0" fontId="11" fillId="0" borderId="21" xfId="11" applyFont="1" applyBorder="1" applyAlignment="1">
      <alignment horizontal="left" vertical="center" wrapText="1"/>
    </xf>
    <xf numFmtId="0" fontId="11" fillId="0" borderId="11" xfId="1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164" fontId="14" fillId="0" borderId="30" xfId="10" applyNumberFormat="1" applyFont="1" applyBorder="1" applyAlignment="1">
      <alignment horizontal="left" vertical="center" wrapText="1"/>
    </xf>
    <xf numFmtId="164" fontId="14" fillId="0" borderId="18" xfId="1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164" fontId="11" fillId="0" borderId="15" xfId="10" applyNumberFormat="1" applyFont="1" applyBorder="1" applyAlignment="1">
      <alignment horizontal="left" vertical="center" wrapText="1"/>
    </xf>
    <xf numFmtId="164" fontId="11" fillId="0" borderId="11" xfId="1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0" fontId="34" fillId="0" borderId="17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34" fillId="0" borderId="21" xfId="0" applyFont="1" applyBorder="1" applyAlignment="1">
      <alignment wrapText="1"/>
    </xf>
    <xf numFmtId="0" fontId="34" fillId="0" borderId="44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0" fontId="34" fillId="26" borderId="20" xfId="0" applyFont="1" applyFill="1" applyBorder="1" applyAlignment="1">
      <alignment wrapText="1"/>
    </xf>
    <xf numFmtId="0" fontId="34" fillId="26" borderId="41" xfId="0" applyFont="1" applyFill="1" applyBorder="1" applyAlignment="1">
      <alignment wrapText="1"/>
    </xf>
    <xf numFmtId="0" fontId="34" fillId="26" borderId="35" xfId="0" applyFont="1" applyFill="1" applyBorder="1" applyAlignment="1">
      <alignment wrapText="1"/>
    </xf>
  </cellXfs>
  <cellStyles count="24">
    <cellStyle name="Hipersaitas" xfId="16" builtinId="8"/>
    <cellStyle name="Įprastas" xfId="0" builtinId="0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 2" xfId="3" xr:uid="{F9ADD20A-130E-4CF8-8E95-A574A1D13DE3}"/>
    <cellStyle name="Įprastas 2 3" xfId="14" xr:uid="{1C73A921-F4C5-42DD-82C5-E17285ABF91F}"/>
    <cellStyle name="Įprastas 2 3 3" xfId="4" xr:uid="{CAE711AE-F15F-49D0-9A34-F5C556C938A2}"/>
    <cellStyle name="Įprastas 2 5" xfId="17" xr:uid="{91E70D3B-3767-49D3-B56A-57EE48572012}"/>
    <cellStyle name="Įprastas 2 6" xfId="1" xr:uid="{86F2ACF4-7643-456B-8410-0C15622C6553}"/>
    <cellStyle name="Įprastas 3 3" xfId="15" xr:uid="{F9DF598B-B821-4F6B-8012-D1DEFAA4C0A7}"/>
    <cellStyle name="Įprastas 4 2 2 2 2 2 2" xfId="10" xr:uid="{3886B98B-8AFC-48D0-98E5-45D0C4223645}"/>
    <cellStyle name="Įprastas 4 2 2 2 3" xfId="9" xr:uid="{0AD2D522-5C0B-4B38-8C26-33A1538A9E41}"/>
    <cellStyle name="Įprastas 4 2 3" xfId="11" xr:uid="{B878BD93-91AF-4E00-AE52-AB6EA84FD9C6}"/>
    <cellStyle name="Įprastas 4 3" xfId="13" xr:uid="{345E74B6-F196-45B6-A17D-E33C503CE915}"/>
    <cellStyle name="Įprastas 5 2" xfId="5" xr:uid="{DD84A9A7-9801-4AFA-8E1A-9DA05D79368C}"/>
    <cellStyle name="Įprastas 6 2" xfId="6" xr:uid="{0681369F-3F45-4D89-93CA-1EB58E493348}"/>
    <cellStyle name="Kablelis 2" xfId="20" xr:uid="{F13B573C-6E5B-41D2-BA86-0D8DDF0843CB}"/>
    <cellStyle name="Procentai 2" xfId="7" xr:uid="{4EFF6A91-A57E-4680-B76F-E085075AB106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0D658F9D-74BB-41D0-B9AE-27E6F78B9B1E}"/>
    <cellStyle name="Procentai 3 3" xfId="23" xr:uid="{2D3671EC-48AC-41A1-8BC3-0E9D4A5A4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281"/>
  <sheetViews>
    <sheetView showGridLines="0" showZeros="0" tabSelected="1" zoomScale="90" zoomScaleNormal="90" zoomScaleSheetLayoutView="85" zoomScalePageLayoutView="55" workbookViewId="0">
      <pane ySplit="4" topLeftCell="A1236" activePane="bottomLeft" state="frozen"/>
      <selection pane="bottomLeft" activeCell="R1238" sqref="R1238"/>
    </sheetView>
  </sheetViews>
  <sheetFormatPr defaultRowHeight="12.75" customHeight="1"/>
  <cols>
    <col min="1" max="1" width="6.44140625" style="17" customWidth="1"/>
    <col min="2" max="3" width="8.6640625" style="17" customWidth="1"/>
    <col min="4" max="4" width="37.33203125" style="19" customWidth="1"/>
    <col min="5" max="5" width="8.109375" style="17" customWidth="1"/>
    <col min="6" max="6" width="9.44140625" style="17" customWidth="1"/>
    <col min="7" max="7" width="9.109375" style="17" customWidth="1"/>
    <col min="8" max="8" width="8.6640625" style="20" customWidth="1"/>
    <col min="9" max="9" width="6.88671875" style="17" hidden="1" customWidth="1"/>
    <col min="10" max="10" width="16.6640625" style="153" customWidth="1"/>
    <col min="11" max="11" width="24.6640625" style="152" customWidth="1"/>
    <col min="12" max="12" width="11" style="17" customWidth="1"/>
    <col min="13" max="13" width="21.44140625" customWidth="1"/>
  </cols>
  <sheetData>
    <row r="1" spans="1:13" ht="46.95" customHeight="1" thickBot="1">
      <c r="D1" s="959" t="s">
        <v>2075</v>
      </c>
      <c r="E1" s="960"/>
      <c r="F1" s="960"/>
      <c r="G1" s="961"/>
      <c r="H1" s="18"/>
      <c r="L1" s="974" t="s">
        <v>2114</v>
      </c>
      <c r="M1" s="974"/>
    </row>
    <row r="2" spans="1:13" ht="12.75" customHeight="1" thickBot="1"/>
    <row r="3" spans="1:13" s="20" customFormat="1" ht="63.6" customHeight="1">
      <c r="A3" s="962" t="s">
        <v>0</v>
      </c>
      <c r="B3" s="964" t="s">
        <v>1</v>
      </c>
      <c r="C3" s="964" t="s">
        <v>2</v>
      </c>
      <c r="D3" s="966" t="s">
        <v>3</v>
      </c>
      <c r="E3" s="968" t="s">
        <v>4</v>
      </c>
      <c r="F3" s="970" t="s">
        <v>5</v>
      </c>
      <c r="G3" s="972" t="s">
        <v>6</v>
      </c>
      <c r="H3" s="21" t="s">
        <v>7</v>
      </c>
      <c r="I3" s="22" t="s">
        <v>8</v>
      </c>
      <c r="J3" s="44" t="s">
        <v>9</v>
      </c>
      <c r="K3" s="159" t="s">
        <v>10</v>
      </c>
      <c r="L3" s="44" t="s">
        <v>2074</v>
      </c>
      <c r="M3" s="957" t="s">
        <v>11</v>
      </c>
    </row>
    <row r="4" spans="1:13" s="20" customFormat="1" ht="11.25" customHeight="1" thickBot="1">
      <c r="A4" s="963"/>
      <c r="B4" s="965"/>
      <c r="C4" s="965"/>
      <c r="D4" s="967"/>
      <c r="E4" s="969"/>
      <c r="F4" s="971"/>
      <c r="G4" s="973"/>
      <c r="H4" s="872"/>
      <c r="I4" s="23"/>
      <c r="J4" s="154"/>
      <c r="K4" s="160"/>
      <c r="L4" s="23"/>
      <c r="M4" s="958"/>
    </row>
    <row r="5" spans="1:13" s="20" customFormat="1" ht="11.25" customHeight="1">
      <c r="A5" s="946"/>
      <c r="B5" s="946"/>
      <c r="C5" s="946"/>
      <c r="D5" s="946" t="s">
        <v>2087</v>
      </c>
      <c r="E5" s="947"/>
      <c r="F5" s="946"/>
      <c r="G5" s="946"/>
      <c r="H5" s="946"/>
      <c r="I5" s="946"/>
      <c r="J5" s="946"/>
      <c r="K5" s="946"/>
      <c r="L5" s="946"/>
      <c r="M5" s="948"/>
    </row>
    <row r="6" spans="1:13" s="20" customFormat="1" ht="33" customHeight="1">
      <c r="A6" s="197"/>
      <c r="B6" s="198"/>
      <c r="C6" s="198"/>
      <c r="D6" s="199" t="s">
        <v>12</v>
      </c>
      <c r="E6" s="200"/>
      <c r="F6" s="198"/>
      <c r="G6" s="201"/>
      <c r="H6" s="200"/>
      <c r="I6" s="202"/>
      <c r="J6" s="155"/>
      <c r="K6" s="161"/>
      <c r="L6" s="45"/>
      <c r="M6" s="46"/>
    </row>
    <row r="7" spans="1:13" s="20" customFormat="1" ht="30.6">
      <c r="A7" s="197">
        <v>1</v>
      </c>
      <c r="B7" s="203" t="s">
        <v>13</v>
      </c>
      <c r="C7" s="203" t="s">
        <v>13</v>
      </c>
      <c r="D7" s="204" t="s">
        <v>14</v>
      </c>
      <c r="E7" s="205"/>
      <c r="F7" s="206"/>
      <c r="G7" s="303"/>
      <c r="H7" s="207"/>
      <c r="I7" s="202"/>
      <c r="J7" s="155"/>
      <c r="K7" s="161"/>
      <c r="L7" s="45"/>
      <c r="M7" s="46"/>
    </row>
    <row r="8" spans="1:13" s="20" customFormat="1" ht="40.799999999999997">
      <c r="A8" s="197">
        <v>1</v>
      </c>
      <c r="B8" s="208"/>
      <c r="C8" s="208" t="s">
        <v>45</v>
      </c>
      <c r="D8" s="209" t="s">
        <v>46</v>
      </c>
      <c r="E8" s="215" t="s">
        <v>47</v>
      </c>
      <c r="F8" s="214" t="s">
        <v>48</v>
      </c>
      <c r="G8" s="214" t="s">
        <v>19</v>
      </c>
      <c r="H8" s="219">
        <v>11.5</v>
      </c>
      <c r="I8" s="202" t="s">
        <v>49</v>
      </c>
      <c r="J8" s="866" t="s">
        <v>50</v>
      </c>
      <c r="K8" s="789" t="s">
        <v>51</v>
      </c>
      <c r="L8" s="156" t="s">
        <v>52</v>
      </c>
      <c r="M8" s="47"/>
    </row>
    <row r="9" spans="1:13" s="20" customFormat="1" ht="12" customHeight="1">
      <c r="A9" s="197">
        <v>1</v>
      </c>
      <c r="B9" s="208"/>
      <c r="C9" s="208"/>
      <c r="D9" s="209"/>
      <c r="E9" s="215" t="s">
        <v>47</v>
      </c>
      <c r="F9" s="214" t="s">
        <v>48</v>
      </c>
      <c r="G9" s="213" t="s">
        <v>24</v>
      </c>
      <c r="H9" s="220">
        <f>SUM(H8)</f>
        <v>11.5</v>
      </c>
      <c r="I9" s="202"/>
      <c r="J9" s="156"/>
      <c r="K9" s="162"/>
      <c r="L9" s="52"/>
      <c r="M9" s="47"/>
    </row>
    <row r="10" spans="1:13" s="20" customFormat="1" ht="26.25" customHeight="1">
      <c r="A10" s="197">
        <v>1</v>
      </c>
      <c r="B10" s="208"/>
      <c r="C10" s="208" t="s">
        <v>53</v>
      </c>
      <c r="D10" s="975" t="s">
        <v>54</v>
      </c>
      <c r="E10" s="215" t="s">
        <v>47</v>
      </c>
      <c r="F10" s="221" t="s">
        <v>55</v>
      </c>
      <c r="G10" s="210" t="s">
        <v>56</v>
      </c>
      <c r="H10" s="219">
        <v>220</v>
      </c>
      <c r="I10" s="202"/>
      <c r="J10" s="866" t="s">
        <v>57</v>
      </c>
      <c r="K10" s="789"/>
      <c r="L10" s="52">
        <v>0</v>
      </c>
      <c r="M10" s="48"/>
    </row>
    <row r="11" spans="1:13" s="20" customFormat="1" ht="15.75" customHeight="1">
      <c r="A11" s="197">
        <v>1</v>
      </c>
      <c r="B11" s="208"/>
      <c r="C11" s="208"/>
      <c r="D11" s="976"/>
      <c r="E11" s="215" t="s">
        <v>47</v>
      </c>
      <c r="F11" s="221" t="s">
        <v>55</v>
      </c>
      <c r="G11" s="214" t="s">
        <v>19</v>
      </c>
      <c r="H11" s="219">
        <v>150</v>
      </c>
      <c r="I11" s="202" t="s">
        <v>58</v>
      </c>
      <c r="J11" s="156"/>
      <c r="K11" s="162"/>
      <c r="L11" s="52"/>
      <c r="M11" s="47"/>
    </row>
    <row r="12" spans="1:13" s="20" customFormat="1" ht="15" customHeight="1">
      <c r="A12" s="197">
        <v>1</v>
      </c>
      <c r="B12" s="208"/>
      <c r="C12" s="208"/>
      <c r="D12" s="976"/>
      <c r="E12" s="215" t="s">
        <v>47</v>
      </c>
      <c r="F12" s="222" t="s">
        <v>55</v>
      </c>
      <c r="G12" s="210" t="s">
        <v>59</v>
      </c>
      <c r="H12" s="219">
        <v>139</v>
      </c>
      <c r="I12" s="202"/>
      <c r="J12" s="156"/>
      <c r="K12" s="162"/>
      <c r="L12" s="52"/>
      <c r="M12" s="47"/>
    </row>
    <row r="13" spans="1:13" s="20" customFormat="1" ht="13.2" customHeight="1">
      <c r="A13" s="197">
        <v>1</v>
      </c>
      <c r="B13" s="208"/>
      <c r="C13" s="208"/>
      <c r="D13" s="977"/>
      <c r="E13" s="215" t="s">
        <v>47</v>
      </c>
      <c r="F13" s="221" t="s">
        <v>55</v>
      </c>
      <c r="G13" s="213" t="s">
        <v>24</v>
      </c>
      <c r="H13" s="220">
        <f>SUM(H10:H12)</f>
        <v>509</v>
      </c>
      <c r="I13" s="202"/>
      <c r="J13" s="156"/>
      <c r="K13" s="162"/>
      <c r="L13" s="52"/>
      <c r="M13" s="47"/>
    </row>
    <row r="14" spans="1:13" s="20" customFormat="1" ht="25.95" customHeight="1">
      <c r="A14" s="197">
        <v>1</v>
      </c>
      <c r="B14" s="208"/>
      <c r="C14" s="208" t="s">
        <v>60</v>
      </c>
      <c r="D14" s="873" t="s">
        <v>61</v>
      </c>
      <c r="E14" s="218" t="s">
        <v>62</v>
      </c>
      <c r="F14" s="221" t="s">
        <v>63</v>
      </c>
      <c r="G14" s="214" t="s">
        <v>19</v>
      </c>
      <c r="H14" s="219">
        <v>186</v>
      </c>
      <c r="I14" s="202" t="s">
        <v>64</v>
      </c>
      <c r="J14" s="865" t="s">
        <v>65</v>
      </c>
      <c r="K14" s="875" t="s">
        <v>66</v>
      </c>
      <c r="L14" s="788">
        <v>1</v>
      </c>
      <c r="M14" s="49" t="s">
        <v>67</v>
      </c>
    </row>
    <row r="15" spans="1:13" s="20" customFormat="1" ht="13.95" customHeight="1">
      <c r="A15" s="197">
        <v>1</v>
      </c>
      <c r="B15" s="208"/>
      <c r="C15" s="208"/>
      <c r="D15" s="209"/>
      <c r="E15" s="215"/>
      <c r="F15" s="221" t="s">
        <v>63</v>
      </c>
      <c r="G15" s="213" t="s">
        <v>24</v>
      </c>
      <c r="H15" s="220">
        <f>SUM(H14:H14)</f>
        <v>186</v>
      </c>
      <c r="I15" s="202"/>
      <c r="J15" s="156"/>
      <c r="K15" s="162"/>
      <c r="L15" s="52"/>
      <c r="M15" s="47"/>
    </row>
    <row r="16" spans="1:13" s="20" customFormat="1" ht="21.6" customHeight="1">
      <c r="A16" s="197">
        <v>1</v>
      </c>
      <c r="B16" s="208"/>
      <c r="C16" s="208" t="s">
        <v>70</v>
      </c>
      <c r="D16" s="975" t="s">
        <v>71</v>
      </c>
      <c r="E16" s="210">
        <v>9</v>
      </c>
      <c r="F16" s="221" t="s">
        <v>72</v>
      </c>
      <c r="G16" s="214" t="s">
        <v>19</v>
      </c>
      <c r="H16" s="219">
        <f>937.8-110</f>
        <v>827.8</v>
      </c>
      <c r="I16" s="202" t="s">
        <v>49</v>
      </c>
      <c r="J16" s="866" t="s">
        <v>73</v>
      </c>
      <c r="K16" s="789" t="s">
        <v>74</v>
      </c>
      <c r="L16" s="52">
        <v>31</v>
      </c>
      <c r="M16" s="50"/>
    </row>
    <row r="17" spans="1:13" s="20" customFormat="1" ht="15.75" customHeight="1">
      <c r="A17" s="197">
        <v>1</v>
      </c>
      <c r="B17" s="208"/>
      <c r="C17" s="208"/>
      <c r="D17" s="976"/>
      <c r="E17" s="210">
        <v>9</v>
      </c>
      <c r="F17" s="221" t="s">
        <v>72</v>
      </c>
      <c r="G17" s="210" t="s">
        <v>75</v>
      </c>
      <c r="H17" s="219">
        <v>0</v>
      </c>
      <c r="I17" s="202"/>
      <c r="J17" s="156"/>
      <c r="K17" s="162"/>
      <c r="L17" s="52"/>
      <c r="M17" s="50"/>
    </row>
    <row r="18" spans="1:13" s="20" customFormat="1" ht="15.75" customHeight="1">
      <c r="A18" s="197">
        <v>1</v>
      </c>
      <c r="B18" s="208"/>
      <c r="C18" s="208"/>
      <c r="D18" s="977"/>
      <c r="E18" s="210">
        <v>9</v>
      </c>
      <c r="F18" s="221" t="s">
        <v>72</v>
      </c>
      <c r="G18" s="221" t="s">
        <v>21</v>
      </c>
      <c r="H18" s="219">
        <v>0</v>
      </c>
      <c r="I18" s="202"/>
      <c r="J18" s="156"/>
      <c r="K18" s="162"/>
      <c r="L18" s="52"/>
      <c r="M18" s="50"/>
    </row>
    <row r="19" spans="1:13" s="20" customFormat="1" ht="15.75" customHeight="1">
      <c r="A19" s="197">
        <v>1</v>
      </c>
      <c r="B19" s="208"/>
      <c r="C19" s="208"/>
      <c r="D19" s="209"/>
      <c r="E19" s="210">
        <v>9</v>
      </c>
      <c r="F19" s="221" t="s">
        <v>72</v>
      </c>
      <c r="G19" s="213" t="s">
        <v>24</v>
      </c>
      <c r="H19" s="220">
        <f>SUM(H16:H18)</f>
        <v>827.8</v>
      </c>
      <c r="I19" s="202"/>
      <c r="J19" s="156"/>
      <c r="K19" s="162"/>
      <c r="L19" s="52"/>
      <c r="M19" s="50"/>
    </row>
    <row r="20" spans="1:13" s="20" customFormat="1" ht="27" customHeight="1">
      <c r="A20" s="197">
        <v>1</v>
      </c>
      <c r="B20" s="208"/>
      <c r="C20" s="208" t="s">
        <v>76</v>
      </c>
      <c r="D20" s="209" t="s">
        <v>77</v>
      </c>
      <c r="E20" s="210">
        <v>18</v>
      </c>
      <c r="F20" s="221" t="s">
        <v>78</v>
      </c>
      <c r="G20" s="214" t="s">
        <v>19</v>
      </c>
      <c r="H20" s="219">
        <f>1300-414.9</f>
        <v>885.1</v>
      </c>
      <c r="I20" s="202" t="s">
        <v>49</v>
      </c>
      <c r="J20" s="866" t="s">
        <v>79</v>
      </c>
      <c r="K20" s="789" t="s">
        <v>80</v>
      </c>
      <c r="L20" s="788">
        <v>100</v>
      </c>
      <c r="M20" s="50"/>
    </row>
    <row r="21" spans="1:13" s="20" customFormat="1" ht="13.95" customHeight="1">
      <c r="A21" s="197">
        <v>1</v>
      </c>
      <c r="B21" s="208"/>
      <c r="C21" s="208"/>
      <c r="D21" s="209"/>
      <c r="E21" s="210">
        <v>18</v>
      </c>
      <c r="F21" s="221" t="s">
        <v>78</v>
      </c>
      <c r="G21" s="213" t="s">
        <v>24</v>
      </c>
      <c r="H21" s="220">
        <f>SUM(H20)</f>
        <v>885.1</v>
      </c>
      <c r="I21" s="202"/>
      <c r="J21" s="156"/>
      <c r="K21" s="162"/>
      <c r="L21" s="52"/>
      <c r="M21" s="50"/>
    </row>
    <row r="22" spans="1:13" s="20" customFormat="1" ht="31.2" customHeight="1">
      <c r="A22" s="197">
        <v>1</v>
      </c>
      <c r="B22" s="208"/>
      <c r="C22" s="208" t="s">
        <v>81</v>
      </c>
      <c r="D22" s="225" t="s">
        <v>82</v>
      </c>
      <c r="E22" s="210">
        <v>11</v>
      </c>
      <c r="F22" s="221" t="s">
        <v>83</v>
      </c>
      <c r="G22" s="214" t="s">
        <v>56</v>
      </c>
      <c r="H22" s="219">
        <v>193.4</v>
      </c>
      <c r="I22" s="202"/>
      <c r="J22" s="866" t="s">
        <v>84</v>
      </c>
      <c r="K22" s="789" t="s">
        <v>85</v>
      </c>
      <c r="L22" s="52">
        <v>11</v>
      </c>
      <c r="M22" s="50"/>
    </row>
    <row r="23" spans="1:13" s="20" customFormat="1" ht="23.25" customHeight="1">
      <c r="A23" s="197">
        <v>1</v>
      </c>
      <c r="B23" s="208"/>
      <c r="C23" s="208"/>
      <c r="D23" s="225"/>
      <c r="E23" s="210">
        <v>11</v>
      </c>
      <c r="F23" s="221" t="s">
        <v>83</v>
      </c>
      <c r="G23" s="214" t="s">
        <v>59</v>
      </c>
      <c r="H23" s="219">
        <v>50.9</v>
      </c>
      <c r="I23" s="202"/>
      <c r="J23" s="156"/>
      <c r="K23" s="162"/>
      <c r="L23" s="52"/>
      <c r="M23" s="50"/>
    </row>
    <row r="24" spans="1:13" s="20" customFormat="1" ht="10.199999999999999">
      <c r="A24" s="197">
        <v>1</v>
      </c>
      <c r="B24" s="208"/>
      <c r="C24" s="208"/>
      <c r="D24" s="209"/>
      <c r="E24" s="210">
        <v>11</v>
      </c>
      <c r="F24" s="221" t="s">
        <v>83</v>
      </c>
      <c r="G24" s="213" t="s">
        <v>24</v>
      </c>
      <c r="H24" s="220">
        <f>SUM(H22:H23)</f>
        <v>244.3</v>
      </c>
      <c r="I24" s="202"/>
      <c r="J24" s="156"/>
      <c r="K24" s="162"/>
      <c r="L24" s="52"/>
      <c r="M24" s="50"/>
    </row>
    <row r="25" spans="1:13" s="20" customFormat="1" ht="11.25" customHeight="1">
      <c r="A25" s="197">
        <v>1</v>
      </c>
      <c r="B25" s="208"/>
      <c r="C25" s="208" t="s">
        <v>86</v>
      </c>
      <c r="D25" s="975" t="s">
        <v>87</v>
      </c>
      <c r="E25" s="226">
        <v>6</v>
      </c>
      <c r="F25" s="227" t="s">
        <v>88</v>
      </c>
      <c r="G25" s="210" t="s">
        <v>16</v>
      </c>
      <c r="H25" s="219">
        <v>541.20000000000005</v>
      </c>
      <c r="I25" s="202"/>
      <c r="J25" s="162" t="s">
        <v>89</v>
      </c>
      <c r="K25" s="162" t="s">
        <v>90</v>
      </c>
      <c r="L25" s="52">
        <v>100</v>
      </c>
      <c r="M25" s="50"/>
    </row>
    <row r="26" spans="1:13" s="20" customFormat="1" ht="11.25" customHeight="1">
      <c r="A26" s="197">
        <v>1</v>
      </c>
      <c r="B26" s="208"/>
      <c r="C26" s="208"/>
      <c r="D26" s="976"/>
      <c r="E26" s="226">
        <v>6</v>
      </c>
      <c r="F26" s="227" t="s">
        <v>88</v>
      </c>
      <c r="G26" s="214" t="s">
        <v>42</v>
      </c>
      <c r="H26" s="219"/>
      <c r="I26" s="202"/>
      <c r="J26" s="156"/>
      <c r="K26" s="162"/>
      <c r="L26" s="52"/>
      <c r="M26" s="50"/>
    </row>
    <row r="27" spans="1:13" s="20" customFormat="1" ht="11.25" customHeight="1">
      <c r="A27" s="197">
        <v>1</v>
      </c>
      <c r="B27" s="208"/>
      <c r="C27" s="208"/>
      <c r="D27" s="976"/>
      <c r="E27" s="226">
        <v>6</v>
      </c>
      <c r="F27" s="227" t="s">
        <v>88</v>
      </c>
      <c r="G27" s="210" t="s">
        <v>21</v>
      </c>
      <c r="H27" s="219"/>
      <c r="I27" s="202"/>
      <c r="J27" s="156"/>
      <c r="K27" s="162"/>
      <c r="L27" s="52"/>
      <c r="M27" s="50"/>
    </row>
    <row r="28" spans="1:13" s="20" customFormat="1" ht="11.25" customHeight="1">
      <c r="A28" s="197">
        <v>1</v>
      </c>
      <c r="B28" s="208"/>
      <c r="C28" s="208"/>
      <c r="D28" s="976"/>
      <c r="E28" s="226">
        <v>6</v>
      </c>
      <c r="F28" s="227" t="s">
        <v>88</v>
      </c>
      <c r="G28" s="214" t="s">
        <v>19</v>
      </c>
      <c r="H28" s="219"/>
      <c r="I28" s="202"/>
      <c r="J28" s="156"/>
      <c r="K28" s="162"/>
      <c r="L28" s="52"/>
      <c r="M28" s="50"/>
    </row>
    <row r="29" spans="1:13" s="20" customFormat="1" ht="12.6" customHeight="1">
      <c r="A29" s="197">
        <v>1</v>
      </c>
      <c r="B29" s="208"/>
      <c r="C29" s="208"/>
      <c r="D29" s="977"/>
      <c r="E29" s="226">
        <v>6</v>
      </c>
      <c r="F29" s="227" t="s">
        <v>88</v>
      </c>
      <c r="G29" s="213" t="s">
        <v>24</v>
      </c>
      <c r="H29" s="220">
        <f>SUM(H25:H28)</f>
        <v>541.20000000000005</v>
      </c>
      <c r="I29" s="202"/>
      <c r="J29" s="156"/>
      <c r="K29" s="162"/>
      <c r="L29" s="52"/>
      <c r="M29" s="50"/>
    </row>
    <row r="30" spans="1:13" s="20" customFormat="1" ht="29.4" customHeight="1">
      <c r="A30" s="197">
        <v>1</v>
      </c>
      <c r="B30" s="208"/>
      <c r="C30" s="208" t="s">
        <v>91</v>
      </c>
      <c r="D30" s="228" t="s">
        <v>92</v>
      </c>
      <c r="E30" s="226">
        <v>17</v>
      </c>
      <c r="F30" s="227" t="s">
        <v>93</v>
      </c>
      <c r="G30" s="218" t="s">
        <v>19</v>
      </c>
      <c r="H30" s="219">
        <v>5</v>
      </c>
      <c r="I30" s="202" t="s">
        <v>64</v>
      </c>
      <c r="J30" s="866" t="s">
        <v>94</v>
      </c>
      <c r="K30" s="859" t="s">
        <v>95</v>
      </c>
      <c r="L30" s="156">
        <v>1</v>
      </c>
      <c r="M30" s="50"/>
    </row>
    <row r="31" spans="1:13" s="20" customFormat="1" ht="13.2" customHeight="1">
      <c r="A31" s="197">
        <v>1</v>
      </c>
      <c r="B31" s="208"/>
      <c r="C31" s="208"/>
      <c r="D31" s="217"/>
      <c r="E31" s="226">
        <v>17</v>
      </c>
      <c r="F31" s="227"/>
      <c r="G31" s="213" t="s">
        <v>24</v>
      </c>
      <c r="H31" s="229">
        <f>SUM(H30)</f>
        <v>5</v>
      </c>
      <c r="I31" s="202"/>
      <c r="J31" s="156"/>
      <c r="K31" s="162"/>
      <c r="L31" s="52"/>
      <c r="M31" s="50"/>
    </row>
    <row r="32" spans="1:13" s="20" customFormat="1" ht="34.200000000000003" customHeight="1">
      <c r="A32" s="197">
        <v>1</v>
      </c>
      <c r="B32" s="208"/>
      <c r="C32" s="208" t="s">
        <v>96</v>
      </c>
      <c r="D32" s="217" t="s">
        <v>97</v>
      </c>
      <c r="E32" s="226">
        <v>17</v>
      </c>
      <c r="F32" s="227" t="s">
        <v>98</v>
      </c>
      <c r="G32" s="218" t="s">
        <v>19</v>
      </c>
      <c r="H32" s="219">
        <f>22+10</f>
        <v>32</v>
      </c>
      <c r="I32" s="202" t="s">
        <v>58</v>
      </c>
      <c r="J32" s="866" t="s">
        <v>94</v>
      </c>
      <c r="K32" s="859" t="s">
        <v>99</v>
      </c>
      <c r="L32" s="52">
        <v>20</v>
      </c>
      <c r="M32" s="50"/>
    </row>
    <row r="33" spans="1:13" s="20" customFormat="1" ht="11.25" customHeight="1">
      <c r="A33" s="197">
        <v>1</v>
      </c>
      <c r="B33" s="208"/>
      <c r="C33" s="208"/>
      <c r="D33" s="217"/>
      <c r="E33" s="226">
        <v>17</v>
      </c>
      <c r="F33" s="227" t="s">
        <v>98</v>
      </c>
      <c r="G33" s="218" t="s">
        <v>56</v>
      </c>
      <c r="H33" s="219">
        <v>143.4</v>
      </c>
      <c r="I33" s="202"/>
      <c r="J33" s="156"/>
      <c r="K33" s="162"/>
      <c r="L33" s="52"/>
      <c r="M33" s="50"/>
    </row>
    <row r="34" spans="1:13" s="20" customFormat="1" ht="11.25" customHeight="1">
      <c r="A34" s="197">
        <v>1</v>
      </c>
      <c r="B34" s="208"/>
      <c r="C34" s="208"/>
      <c r="D34" s="217"/>
      <c r="E34" s="226">
        <v>17</v>
      </c>
      <c r="F34" s="227" t="s">
        <v>98</v>
      </c>
      <c r="G34" s="218" t="s">
        <v>59</v>
      </c>
      <c r="H34" s="219">
        <v>25.3</v>
      </c>
      <c r="I34" s="202"/>
      <c r="J34" s="156"/>
      <c r="K34" s="162"/>
      <c r="L34" s="52"/>
      <c r="M34" s="50"/>
    </row>
    <row r="35" spans="1:13" s="20" customFormat="1" ht="10.199999999999999" customHeight="1">
      <c r="A35" s="197">
        <v>1</v>
      </c>
      <c r="B35" s="208"/>
      <c r="C35" s="208"/>
      <c r="D35" s="217"/>
      <c r="E35" s="226"/>
      <c r="F35" s="227"/>
      <c r="G35" s="213" t="s">
        <v>24</v>
      </c>
      <c r="H35" s="229">
        <f>SUM(H32:H34)</f>
        <v>200.70000000000002</v>
      </c>
      <c r="I35" s="202"/>
      <c r="J35" s="156"/>
      <c r="K35" s="162"/>
      <c r="L35" s="52"/>
      <c r="M35" s="50"/>
    </row>
    <row r="36" spans="1:13" s="20" customFormat="1" ht="20.399999999999999">
      <c r="A36" s="197">
        <v>1</v>
      </c>
      <c r="B36" s="208"/>
      <c r="C36" s="208" t="s">
        <v>100</v>
      </c>
      <c r="D36" s="975" t="s">
        <v>101</v>
      </c>
      <c r="E36" s="226">
        <v>11</v>
      </c>
      <c r="F36" s="227" t="s">
        <v>102</v>
      </c>
      <c r="G36" s="218" t="s">
        <v>59</v>
      </c>
      <c r="H36" s="219">
        <v>7</v>
      </c>
      <c r="I36" s="202"/>
      <c r="J36" s="789" t="s">
        <v>103</v>
      </c>
      <c r="K36" s="789" t="s">
        <v>104</v>
      </c>
      <c r="L36" s="788">
        <v>1</v>
      </c>
      <c r="M36" s="50"/>
    </row>
    <row r="37" spans="1:13" s="20" customFormat="1" ht="10.199999999999999">
      <c r="A37" s="197">
        <v>1</v>
      </c>
      <c r="B37" s="208"/>
      <c r="C37" s="208"/>
      <c r="D37" s="977"/>
      <c r="E37" s="226"/>
      <c r="F37" s="227"/>
      <c r="G37" s="215" t="s">
        <v>56</v>
      </c>
      <c r="H37" s="219">
        <v>8.1</v>
      </c>
      <c r="I37" s="202"/>
      <c r="J37" s="156"/>
      <c r="K37" s="162"/>
      <c r="L37" s="52"/>
      <c r="M37" s="50"/>
    </row>
    <row r="38" spans="1:13" s="20" customFormat="1" ht="10.199999999999999">
      <c r="A38" s="197">
        <v>1</v>
      </c>
      <c r="B38" s="208"/>
      <c r="C38" s="208"/>
      <c r="D38" s="217"/>
      <c r="E38" s="226"/>
      <c r="F38" s="227"/>
      <c r="G38" s="213" t="s">
        <v>24</v>
      </c>
      <c r="H38" s="229">
        <f>SUM(H36,H37)</f>
        <v>15.1</v>
      </c>
      <c r="I38" s="202"/>
      <c r="J38" s="156"/>
      <c r="K38" s="162"/>
      <c r="L38" s="52"/>
      <c r="M38" s="50"/>
    </row>
    <row r="39" spans="1:13" s="20" customFormat="1" ht="22.2" customHeight="1">
      <c r="A39" s="197">
        <v>1</v>
      </c>
      <c r="B39" s="208"/>
      <c r="C39" s="208" t="s">
        <v>105</v>
      </c>
      <c r="D39" s="975" t="s">
        <v>106</v>
      </c>
      <c r="E39" s="226">
        <v>11</v>
      </c>
      <c r="F39" s="227" t="s">
        <v>107</v>
      </c>
      <c r="G39" s="218" t="s">
        <v>19</v>
      </c>
      <c r="H39" s="219">
        <v>59.7</v>
      </c>
      <c r="I39" s="202" t="s">
        <v>58</v>
      </c>
      <c r="J39" s="866" t="s">
        <v>108</v>
      </c>
      <c r="K39" s="789" t="s">
        <v>109</v>
      </c>
      <c r="L39" s="788">
        <v>200</v>
      </c>
      <c r="M39" s="50"/>
    </row>
    <row r="40" spans="1:13" s="20" customFormat="1" ht="26.25" customHeight="1">
      <c r="A40" s="197">
        <v>1</v>
      </c>
      <c r="B40" s="208"/>
      <c r="C40" s="208"/>
      <c r="D40" s="977"/>
      <c r="E40" s="226">
        <v>11</v>
      </c>
      <c r="F40" s="227" t="s">
        <v>107</v>
      </c>
      <c r="G40" s="218" t="s">
        <v>56</v>
      </c>
      <c r="H40" s="219">
        <v>410.1</v>
      </c>
      <c r="I40" s="202"/>
      <c r="J40" s="156"/>
      <c r="K40" s="162"/>
      <c r="L40" s="52"/>
      <c r="M40" s="50"/>
    </row>
    <row r="41" spans="1:13" s="20" customFormat="1" ht="10.199999999999999">
      <c r="A41" s="197">
        <v>1</v>
      </c>
      <c r="B41" s="208"/>
      <c r="C41" s="208"/>
      <c r="D41" s="217"/>
      <c r="E41" s="226">
        <v>11</v>
      </c>
      <c r="F41" s="227" t="s">
        <v>107</v>
      </c>
      <c r="G41" s="218" t="s">
        <v>59</v>
      </c>
      <c r="H41" s="219">
        <v>72.400000000000006</v>
      </c>
      <c r="I41" s="202"/>
      <c r="J41" s="156"/>
      <c r="K41" s="162"/>
      <c r="L41" s="52"/>
      <c r="M41" s="50"/>
    </row>
    <row r="42" spans="1:13" s="20" customFormat="1" ht="10.199999999999999">
      <c r="A42" s="197">
        <v>1</v>
      </c>
      <c r="B42" s="208"/>
      <c r="C42" s="208"/>
      <c r="D42" s="216"/>
      <c r="E42" s="230"/>
      <c r="F42" s="227"/>
      <c r="G42" s="213" t="s">
        <v>24</v>
      </c>
      <c r="H42" s="229">
        <f>SUM(H39:H41)</f>
        <v>542.20000000000005</v>
      </c>
      <c r="I42" s="202"/>
      <c r="J42" s="156"/>
      <c r="K42" s="162"/>
      <c r="L42" s="52"/>
      <c r="M42" s="50"/>
    </row>
    <row r="43" spans="1:13" s="20" customFormat="1" ht="30.6">
      <c r="A43" s="197">
        <v>1</v>
      </c>
      <c r="B43" s="231" t="s">
        <v>110</v>
      </c>
      <c r="C43" s="232" t="s">
        <v>110</v>
      </c>
      <c r="D43" s="233" t="s">
        <v>111</v>
      </c>
      <c r="E43" s="234"/>
      <c r="F43" s="209"/>
      <c r="G43" s="384"/>
      <c r="H43" s="207"/>
      <c r="I43" s="202"/>
      <c r="J43" s="156"/>
      <c r="K43" s="162"/>
      <c r="L43" s="52"/>
      <c r="M43" s="50"/>
    </row>
    <row r="44" spans="1:13" s="20" customFormat="1" ht="30.6">
      <c r="A44" s="197">
        <v>1</v>
      </c>
      <c r="B44" s="235"/>
      <c r="C44" s="236"/>
      <c r="D44" s="237"/>
      <c r="E44" s="238">
        <v>11</v>
      </c>
      <c r="F44" s="224" t="s">
        <v>112</v>
      </c>
      <c r="G44" s="214" t="s">
        <v>19</v>
      </c>
      <c r="H44" s="219">
        <f>4050-250-1272-221.4+1493.4</f>
        <v>3800</v>
      </c>
      <c r="I44" s="202" t="s">
        <v>49</v>
      </c>
      <c r="J44" s="162" t="s">
        <v>113</v>
      </c>
      <c r="K44" s="859" t="s">
        <v>114</v>
      </c>
      <c r="L44" s="156">
        <v>754</v>
      </c>
      <c r="M44" s="50"/>
    </row>
    <row r="45" spans="1:13" s="20" customFormat="1" ht="30.6">
      <c r="A45" s="197">
        <v>1</v>
      </c>
      <c r="B45" s="208"/>
      <c r="C45" s="239"/>
      <c r="D45" s="237"/>
      <c r="E45" s="238">
        <v>11</v>
      </c>
      <c r="F45" s="224" t="s">
        <v>112</v>
      </c>
      <c r="G45" s="210" t="s">
        <v>75</v>
      </c>
      <c r="H45" s="219">
        <f>1493.4-1493.4</f>
        <v>0</v>
      </c>
      <c r="I45" s="202"/>
      <c r="J45" s="162" t="s">
        <v>113</v>
      </c>
      <c r="K45" s="859" t="s">
        <v>115</v>
      </c>
      <c r="L45" s="156">
        <v>302</v>
      </c>
      <c r="M45" s="50"/>
    </row>
    <row r="46" spans="1:13" s="20" customFormat="1" ht="20.399999999999999">
      <c r="A46" s="197">
        <v>1</v>
      </c>
      <c r="B46" s="208"/>
      <c r="C46" s="239"/>
      <c r="D46" s="237"/>
      <c r="E46" s="238">
        <v>11</v>
      </c>
      <c r="F46" s="224" t="s">
        <v>112</v>
      </c>
      <c r="G46" s="214" t="s">
        <v>23</v>
      </c>
      <c r="H46" s="219"/>
      <c r="I46" s="202"/>
      <c r="J46" s="162" t="s">
        <v>113</v>
      </c>
      <c r="K46" s="789" t="s">
        <v>116</v>
      </c>
      <c r="L46" s="156">
        <v>171</v>
      </c>
      <c r="M46" s="50"/>
    </row>
    <row r="47" spans="1:13" s="20" customFormat="1" ht="20.399999999999999">
      <c r="A47" s="197">
        <v>1</v>
      </c>
      <c r="B47" s="208"/>
      <c r="C47" s="239"/>
      <c r="D47" s="237"/>
      <c r="E47" s="238">
        <v>11</v>
      </c>
      <c r="F47" s="224" t="s">
        <v>112</v>
      </c>
      <c r="G47" s="214" t="s">
        <v>21</v>
      </c>
      <c r="H47" s="219"/>
      <c r="I47" s="202"/>
      <c r="J47" s="162" t="s">
        <v>113</v>
      </c>
      <c r="K47" s="789" t="s">
        <v>117</v>
      </c>
      <c r="L47" s="156">
        <v>243</v>
      </c>
      <c r="M47" s="50"/>
    </row>
    <row r="48" spans="1:13" s="20" customFormat="1" ht="30.6">
      <c r="A48" s="197">
        <v>1</v>
      </c>
      <c r="B48" s="208"/>
      <c r="C48" s="239"/>
      <c r="D48" s="237"/>
      <c r="E48" s="240">
        <v>11</v>
      </c>
      <c r="F48" s="224" t="s">
        <v>112</v>
      </c>
      <c r="G48" s="210" t="s">
        <v>16</v>
      </c>
      <c r="H48" s="219">
        <v>3564.6</v>
      </c>
      <c r="I48" s="202"/>
      <c r="J48" s="156" t="s">
        <v>118</v>
      </c>
      <c r="K48" s="789" t="s">
        <v>119</v>
      </c>
      <c r="L48" s="156">
        <v>14</v>
      </c>
      <c r="M48" s="50"/>
    </row>
    <row r="49" spans="1:13" s="20" customFormat="1" ht="45" customHeight="1">
      <c r="A49" s="197">
        <v>1</v>
      </c>
      <c r="B49" s="208"/>
      <c r="C49" s="208"/>
      <c r="D49" s="241"/>
      <c r="E49" s="240">
        <v>11</v>
      </c>
      <c r="F49" s="224" t="s">
        <v>112</v>
      </c>
      <c r="G49" s="210" t="s">
        <v>17</v>
      </c>
      <c r="H49" s="219"/>
      <c r="I49" s="202"/>
      <c r="J49" s="156" t="s">
        <v>118</v>
      </c>
      <c r="K49" s="162" t="s">
        <v>120</v>
      </c>
      <c r="L49" s="52">
        <v>18</v>
      </c>
      <c r="M49" s="50"/>
    </row>
    <row r="50" spans="1:13" s="20" customFormat="1" ht="15.75" customHeight="1">
      <c r="A50" s="197">
        <v>1</v>
      </c>
      <c r="B50" s="208"/>
      <c r="C50" s="208"/>
      <c r="D50" s="225"/>
      <c r="E50" s="240"/>
      <c r="F50" s="224" t="s">
        <v>112</v>
      </c>
      <c r="G50" s="213" t="s">
        <v>24</v>
      </c>
      <c r="H50" s="220">
        <f>SUM(H44:H49)</f>
        <v>7364.6</v>
      </c>
      <c r="I50" s="202"/>
      <c r="J50" s="156"/>
      <c r="K50" s="162"/>
      <c r="L50" s="52"/>
      <c r="M50" s="50"/>
    </row>
    <row r="51" spans="1:13" s="20" customFormat="1" ht="23.25" customHeight="1">
      <c r="A51" s="197">
        <v>1</v>
      </c>
      <c r="B51" s="231" t="s">
        <v>121</v>
      </c>
      <c r="C51" s="231" t="s">
        <v>121</v>
      </c>
      <c r="D51" s="242" t="s">
        <v>122</v>
      </c>
      <c r="E51" s="210">
        <v>11</v>
      </c>
      <c r="F51" s="210"/>
      <c r="G51" s="384"/>
      <c r="H51" s="207"/>
      <c r="I51" s="202"/>
      <c r="J51" s="156"/>
      <c r="K51" s="162"/>
      <c r="L51" s="52"/>
      <c r="M51" s="50"/>
    </row>
    <row r="52" spans="1:13" s="20" customFormat="1" ht="46.5" customHeight="1">
      <c r="A52" s="197">
        <v>1</v>
      </c>
      <c r="B52" s="243"/>
      <c r="C52" s="243" t="s">
        <v>123</v>
      </c>
      <c r="D52" s="874" t="s">
        <v>124</v>
      </c>
      <c r="E52" s="210">
        <v>11</v>
      </c>
      <c r="F52" s="210" t="s">
        <v>125</v>
      </c>
      <c r="G52" s="212" t="s">
        <v>19</v>
      </c>
      <c r="H52" s="219">
        <f>60-10</f>
        <v>50</v>
      </c>
      <c r="I52" s="202" t="s">
        <v>49</v>
      </c>
      <c r="J52" s="162" t="s">
        <v>126</v>
      </c>
      <c r="K52" s="162" t="s">
        <v>127</v>
      </c>
      <c r="L52" s="52">
        <v>5</v>
      </c>
      <c r="M52" s="50"/>
    </row>
    <row r="53" spans="1:13" s="20" customFormat="1" ht="17.25" customHeight="1">
      <c r="A53" s="197">
        <v>1</v>
      </c>
      <c r="B53" s="243"/>
      <c r="C53" s="243"/>
      <c r="D53" s="244"/>
      <c r="E53" s="210"/>
      <c r="F53" s="210" t="s">
        <v>125</v>
      </c>
      <c r="G53" s="213" t="s">
        <v>24</v>
      </c>
      <c r="H53" s="220">
        <f>SUM(H52:H52)</f>
        <v>50</v>
      </c>
      <c r="I53" s="202"/>
      <c r="J53" s="156"/>
      <c r="K53" s="162"/>
      <c r="L53" s="52"/>
      <c r="M53" s="50"/>
    </row>
    <row r="54" spans="1:13" s="20" customFormat="1" ht="20.399999999999999">
      <c r="A54" s="197">
        <v>1</v>
      </c>
      <c r="B54" s="243"/>
      <c r="C54" s="243" t="s">
        <v>130</v>
      </c>
      <c r="D54" s="209" t="s">
        <v>131</v>
      </c>
      <c r="E54" s="215" t="s">
        <v>47</v>
      </c>
      <c r="F54" s="210" t="s">
        <v>132</v>
      </c>
      <c r="G54" s="210" t="s">
        <v>21</v>
      </c>
      <c r="H54" s="219">
        <v>461.7</v>
      </c>
      <c r="I54" s="202"/>
      <c r="J54" s="789" t="s">
        <v>126</v>
      </c>
      <c r="K54" s="789" t="s">
        <v>133</v>
      </c>
      <c r="L54" s="52">
        <v>76</v>
      </c>
      <c r="M54" s="50"/>
    </row>
    <row r="55" spans="1:13" s="20" customFormat="1" ht="10.199999999999999">
      <c r="A55" s="197">
        <v>1</v>
      </c>
      <c r="B55" s="243"/>
      <c r="C55" s="243"/>
      <c r="D55" s="209"/>
      <c r="E55" s="215" t="s">
        <v>47</v>
      </c>
      <c r="F55" s="210" t="s">
        <v>132</v>
      </c>
      <c r="G55" s="214" t="s">
        <v>19</v>
      </c>
      <c r="H55" s="219"/>
      <c r="I55" s="202"/>
      <c r="J55" s="156"/>
      <c r="K55" s="162"/>
      <c r="L55" s="52"/>
      <c r="M55" s="50"/>
    </row>
    <row r="56" spans="1:13" s="20" customFormat="1" ht="10.199999999999999">
      <c r="A56" s="197">
        <v>1</v>
      </c>
      <c r="B56" s="243"/>
      <c r="C56" s="243"/>
      <c r="D56" s="209"/>
      <c r="E56" s="215" t="s">
        <v>47</v>
      </c>
      <c r="F56" s="210" t="s">
        <v>132</v>
      </c>
      <c r="G56" s="213" t="s">
        <v>24</v>
      </c>
      <c r="H56" s="220">
        <f>SUM(H54:H55)</f>
        <v>461.7</v>
      </c>
      <c r="I56" s="202"/>
      <c r="J56" s="156"/>
      <c r="K56" s="162"/>
      <c r="L56" s="52"/>
      <c r="M56" s="50"/>
    </row>
    <row r="57" spans="1:13" s="20" customFormat="1" ht="20.399999999999999">
      <c r="A57" s="197">
        <v>1</v>
      </c>
      <c r="B57" s="243"/>
      <c r="C57" s="243" t="s">
        <v>134</v>
      </c>
      <c r="D57" s="209" t="s">
        <v>135</v>
      </c>
      <c r="E57" s="215" t="s">
        <v>47</v>
      </c>
      <c r="F57" s="214" t="s">
        <v>136</v>
      </c>
      <c r="G57" s="214" t="s">
        <v>19</v>
      </c>
      <c r="H57" s="219">
        <v>100</v>
      </c>
      <c r="I57" s="202" t="s">
        <v>64</v>
      </c>
      <c r="J57" s="789" t="s">
        <v>126</v>
      </c>
      <c r="K57" s="789" t="s">
        <v>137</v>
      </c>
      <c r="L57" s="52">
        <v>35</v>
      </c>
      <c r="M57" s="50"/>
    </row>
    <row r="58" spans="1:13" s="20" customFormat="1" ht="10.199999999999999">
      <c r="A58" s="197">
        <v>1</v>
      </c>
      <c r="B58" s="243"/>
      <c r="C58" s="243"/>
      <c r="D58" s="209"/>
      <c r="E58" s="215" t="s">
        <v>47</v>
      </c>
      <c r="F58" s="214" t="s">
        <v>136</v>
      </c>
      <c r="G58" s="213" t="s">
        <v>24</v>
      </c>
      <c r="H58" s="220">
        <f>SUM(H57:H57)</f>
        <v>100</v>
      </c>
      <c r="I58" s="202"/>
      <c r="J58" s="156"/>
      <c r="K58" s="162"/>
      <c r="L58" s="52"/>
      <c r="M58" s="50"/>
    </row>
    <row r="59" spans="1:13" s="20" customFormat="1" ht="20.399999999999999">
      <c r="A59" s="197">
        <v>1</v>
      </c>
      <c r="B59" s="243"/>
      <c r="C59" s="243" t="s">
        <v>138</v>
      </c>
      <c r="D59" s="209" t="s">
        <v>139</v>
      </c>
      <c r="E59" s="210">
        <v>11</v>
      </c>
      <c r="F59" s="210" t="s">
        <v>140</v>
      </c>
      <c r="G59" s="214" t="s">
        <v>19</v>
      </c>
      <c r="H59" s="219">
        <v>22.1</v>
      </c>
      <c r="I59" s="202" t="s">
        <v>64</v>
      </c>
      <c r="J59" s="866" t="s">
        <v>108</v>
      </c>
      <c r="K59" s="789" t="s">
        <v>141</v>
      </c>
      <c r="L59" s="52">
        <v>6</v>
      </c>
      <c r="M59" s="50"/>
    </row>
    <row r="60" spans="1:13" s="20" customFormat="1" ht="10.199999999999999">
      <c r="A60" s="197">
        <v>1</v>
      </c>
      <c r="B60" s="243"/>
      <c r="C60" s="243"/>
      <c r="D60" s="209"/>
      <c r="E60" s="210">
        <v>11</v>
      </c>
      <c r="F60" s="210" t="s">
        <v>140</v>
      </c>
      <c r="G60" s="213" t="s">
        <v>24</v>
      </c>
      <c r="H60" s="220">
        <f>SUM(H59)</f>
        <v>22.1</v>
      </c>
      <c r="I60" s="202"/>
      <c r="J60" s="156"/>
      <c r="K60" s="162"/>
      <c r="L60" s="52"/>
      <c r="M60" s="50"/>
    </row>
    <row r="61" spans="1:13" s="20" customFormat="1" ht="50.25" customHeight="1">
      <c r="A61" s="197">
        <v>1</v>
      </c>
      <c r="B61" s="243"/>
      <c r="C61" s="243" t="s">
        <v>142</v>
      </c>
      <c r="D61" s="975" t="s">
        <v>143</v>
      </c>
      <c r="E61" s="210">
        <v>11</v>
      </c>
      <c r="F61" s="214" t="s">
        <v>144</v>
      </c>
      <c r="G61" s="214" t="s">
        <v>19</v>
      </c>
      <c r="H61" s="219">
        <v>28</v>
      </c>
      <c r="I61" s="202" t="s">
        <v>64</v>
      </c>
      <c r="J61" s="866" t="s">
        <v>145</v>
      </c>
      <c r="K61" s="876" t="s">
        <v>146</v>
      </c>
      <c r="L61" s="156" t="s">
        <v>147</v>
      </c>
      <c r="M61" s="50"/>
    </row>
    <row r="62" spans="1:13" s="20" customFormat="1" ht="26.4" customHeight="1">
      <c r="A62" s="197">
        <v>1</v>
      </c>
      <c r="B62" s="243"/>
      <c r="C62" s="243"/>
      <c r="D62" s="976"/>
      <c r="E62" s="210">
        <v>11</v>
      </c>
      <c r="F62" s="214" t="s">
        <v>144</v>
      </c>
      <c r="G62" s="210" t="s">
        <v>56</v>
      </c>
      <c r="H62" s="219"/>
      <c r="I62" s="202"/>
      <c r="J62" s="869"/>
      <c r="K62" s="789"/>
      <c r="L62" s="52"/>
      <c r="M62" s="50"/>
    </row>
    <row r="63" spans="1:13" s="20" customFormat="1" ht="11.25" customHeight="1">
      <c r="A63" s="197">
        <v>1</v>
      </c>
      <c r="B63" s="243"/>
      <c r="C63" s="243"/>
      <c r="D63" s="976"/>
      <c r="E63" s="210">
        <v>11</v>
      </c>
      <c r="F63" s="214" t="s">
        <v>144</v>
      </c>
      <c r="G63" s="210" t="s">
        <v>59</v>
      </c>
      <c r="H63" s="219"/>
      <c r="I63" s="202"/>
      <c r="J63" s="156"/>
      <c r="K63" s="162"/>
      <c r="L63" s="52"/>
      <c r="M63" s="50"/>
    </row>
    <row r="64" spans="1:13" s="20" customFormat="1" ht="10.199999999999999">
      <c r="A64" s="197">
        <v>1</v>
      </c>
      <c r="B64" s="243"/>
      <c r="C64" s="243"/>
      <c r="D64" s="977"/>
      <c r="E64" s="210">
        <v>11</v>
      </c>
      <c r="F64" s="214" t="s">
        <v>144</v>
      </c>
      <c r="G64" s="213" t="s">
        <v>24</v>
      </c>
      <c r="H64" s="220">
        <f>SUM(H61:H63)</f>
        <v>28</v>
      </c>
      <c r="I64" s="202"/>
      <c r="J64" s="156"/>
      <c r="K64" s="162"/>
      <c r="L64" s="52"/>
      <c r="M64" s="50"/>
    </row>
    <row r="65" spans="1:13" s="20" customFormat="1" ht="51">
      <c r="A65" s="197">
        <v>1</v>
      </c>
      <c r="B65" s="243"/>
      <c r="C65" s="243" t="s">
        <v>148</v>
      </c>
      <c r="D65" s="209" t="s">
        <v>149</v>
      </c>
      <c r="E65" s="210">
        <v>11</v>
      </c>
      <c r="F65" s="214" t="s">
        <v>150</v>
      </c>
      <c r="G65" s="214" t="s">
        <v>19</v>
      </c>
      <c r="H65" s="219">
        <v>50</v>
      </c>
      <c r="I65" s="202" t="s">
        <v>64</v>
      </c>
      <c r="J65" s="866" t="s">
        <v>57</v>
      </c>
      <c r="K65" s="789" t="s">
        <v>151</v>
      </c>
      <c r="L65" s="156" t="s">
        <v>152</v>
      </c>
      <c r="M65" s="50"/>
    </row>
    <row r="66" spans="1:13" s="20" customFormat="1" ht="10.199999999999999">
      <c r="A66" s="197">
        <v>1</v>
      </c>
      <c r="B66" s="243"/>
      <c r="C66" s="243"/>
      <c r="D66" s="209"/>
      <c r="E66" s="210">
        <v>11</v>
      </c>
      <c r="F66" s="214" t="s">
        <v>150</v>
      </c>
      <c r="G66" s="213" t="s">
        <v>24</v>
      </c>
      <c r="H66" s="220">
        <f>SUM(H65:H65)</f>
        <v>50</v>
      </c>
      <c r="I66" s="202"/>
      <c r="J66" s="156"/>
      <c r="K66" s="162"/>
      <c r="L66" s="52"/>
      <c r="M66" s="50"/>
    </row>
    <row r="67" spans="1:13" s="20" customFormat="1" ht="30.6">
      <c r="A67" s="197">
        <v>1</v>
      </c>
      <c r="B67" s="231" t="s">
        <v>153</v>
      </c>
      <c r="C67" s="231" t="s">
        <v>153</v>
      </c>
      <c r="D67" s="242" t="s">
        <v>154</v>
      </c>
      <c r="E67" s="210"/>
      <c r="F67" s="210"/>
      <c r="G67" s="384"/>
      <c r="H67" s="207"/>
      <c r="I67" s="202"/>
      <c r="J67" s="156"/>
      <c r="K67" s="162"/>
      <c r="L67" s="52"/>
      <c r="M67" s="50"/>
    </row>
    <row r="68" spans="1:13" s="20" customFormat="1" ht="30.6">
      <c r="A68" s="197">
        <v>1</v>
      </c>
      <c r="B68" s="243"/>
      <c r="C68" s="243" t="s">
        <v>155</v>
      </c>
      <c r="D68" s="245" t="s">
        <v>156</v>
      </c>
      <c r="E68" s="246" t="s">
        <v>47</v>
      </c>
      <c r="F68" s="210" t="s">
        <v>157</v>
      </c>
      <c r="G68" s="214" t="s">
        <v>19</v>
      </c>
      <c r="H68" s="219">
        <v>100</v>
      </c>
      <c r="I68" s="202" t="s">
        <v>64</v>
      </c>
      <c r="J68" s="790" t="s">
        <v>108</v>
      </c>
      <c r="K68" s="789" t="s">
        <v>158</v>
      </c>
      <c r="L68" s="52">
        <v>36</v>
      </c>
      <c r="M68" s="50"/>
    </row>
    <row r="69" spans="1:13" s="20" customFormat="1" ht="10.199999999999999">
      <c r="A69" s="197">
        <v>1</v>
      </c>
      <c r="B69" s="243"/>
      <c r="C69" s="243"/>
      <c r="D69" s="209"/>
      <c r="E69" s="247"/>
      <c r="F69" s="210" t="s">
        <v>157</v>
      </c>
      <c r="G69" s="213" t="s">
        <v>24</v>
      </c>
      <c r="H69" s="220">
        <f>SUM(H68:H68)</f>
        <v>100</v>
      </c>
      <c r="I69" s="202"/>
      <c r="J69" s="156"/>
      <c r="K69" s="162"/>
      <c r="L69" s="52"/>
      <c r="M69" s="50"/>
    </row>
    <row r="70" spans="1:13" s="20" customFormat="1" ht="20.399999999999999">
      <c r="A70" s="197">
        <v>1</v>
      </c>
      <c r="B70" s="198"/>
      <c r="C70" s="198"/>
      <c r="D70" s="199" t="s">
        <v>159</v>
      </c>
      <c r="E70" s="200"/>
      <c r="F70" s="201"/>
      <c r="G70" s="200"/>
      <c r="H70" s="200"/>
      <c r="I70" s="202"/>
      <c r="J70" s="156"/>
      <c r="K70" s="162"/>
      <c r="L70" s="52"/>
      <c r="M70" s="50"/>
    </row>
    <row r="71" spans="1:13" s="20" customFormat="1" ht="24.6" customHeight="1">
      <c r="A71" s="197">
        <v>1</v>
      </c>
      <c r="B71" s="231" t="s">
        <v>160</v>
      </c>
      <c r="C71" s="231" t="s">
        <v>160</v>
      </c>
      <c r="D71" s="204" t="s">
        <v>161</v>
      </c>
      <c r="E71" s="248"/>
      <c r="F71" s="210"/>
      <c r="G71" s="207"/>
      <c r="H71" s="207">
        <f>H73</f>
        <v>200</v>
      </c>
      <c r="I71" s="202"/>
      <c r="J71" s="156"/>
      <c r="K71" s="162"/>
      <c r="L71" s="52"/>
      <c r="M71" s="50"/>
    </row>
    <row r="72" spans="1:13" s="20" customFormat="1" ht="14.25" customHeight="1">
      <c r="A72" s="197">
        <v>1</v>
      </c>
      <c r="B72" s="235"/>
      <c r="C72" s="235"/>
      <c r="D72" s="235"/>
      <c r="E72" s="248">
        <v>11</v>
      </c>
      <c r="F72" s="215" t="s">
        <v>162</v>
      </c>
      <c r="G72" s="214" t="s">
        <v>19</v>
      </c>
      <c r="H72" s="219">
        <v>200</v>
      </c>
      <c r="I72" s="202" t="s">
        <v>64</v>
      </c>
      <c r="J72" s="790" t="s">
        <v>50</v>
      </c>
      <c r="K72" s="789" t="s">
        <v>163</v>
      </c>
      <c r="L72" s="52">
        <v>2</v>
      </c>
      <c r="M72" s="50"/>
    </row>
    <row r="73" spans="1:13" s="20" customFormat="1" ht="15.6" customHeight="1">
      <c r="A73" s="197">
        <v>1</v>
      </c>
      <c r="B73" s="243"/>
      <c r="C73" s="243"/>
      <c r="D73" s="209"/>
      <c r="E73" s="249"/>
      <c r="F73" s="215" t="s">
        <v>162</v>
      </c>
      <c r="G73" s="250" t="s">
        <v>164</v>
      </c>
      <c r="H73" s="220">
        <f>SUM(H72:H72)</f>
        <v>200</v>
      </c>
      <c r="I73" s="202"/>
      <c r="J73" s="156"/>
      <c r="K73" s="162"/>
      <c r="L73" s="52"/>
      <c r="M73" s="50"/>
    </row>
    <row r="74" spans="1:13" s="20" customFormat="1" ht="30.6">
      <c r="A74" s="197">
        <v>1</v>
      </c>
      <c r="B74" s="231" t="s">
        <v>165</v>
      </c>
      <c r="C74" s="231" t="s">
        <v>165</v>
      </c>
      <c r="D74" s="242" t="s">
        <v>166</v>
      </c>
      <c r="E74" s="249"/>
      <c r="F74" s="210"/>
      <c r="G74" s="260"/>
      <c r="H74" s="207"/>
      <c r="I74" s="202"/>
      <c r="J74" s="156"/>
      <c r="K74" s="162"/>
      <c r="L74" s="52"/>
      <c r="M74" s="50"/>
    </row>
    <row r="75" spans="1:13" s="20" customFormat="1" ht="28.8">
      <c r="A75" s="197">
        <v>1</v>
      </c>
      <c r="B75" s="243"/>
      <c r="C75" s="243"/>
      <c r="D75" s="209"/>
      <c r="E75" s="215" t="s">
        <v>47</v>
      </c>
      <c r="F75" s="215" t="s">
        <v>167</v>
      </c>
      <c r="G75" s="214" t="s">
        <v>19</v>
      </c>
      <c r="H75" s="219">
        <f>1500-200-714.7-246.3</f>
        <v>338.99999999999994</v>
      </c>
      <c r="I75" s="202"/>
      <c r="J75" s="877" t="s">
        <v>50</v>
      </c>
      <c r="K75" s="878" t="s">
        <v>173</v>
      </c>
      <c r="L75" s="788">
        <v>1</v>
      </c>
      <c r="M75" s="47"/>
    </row>
    <row r="76" spans="1:13" s="20" customFormat="1" ht="16.5" customHeight="1">
      <c r="A76" s="197">
        <v>1</v>
      </c>
      <c r="B76" s="243"/>
      <c r="C76" s="243"/>
      <c r="D76" s="209"/>
      <c r="E76" s="251"/>
      <c r="F76" s="215"/>
      <c r="G76" s="214"/>
      <c r="H76" s="220">
        <f>SUM(H75:H75)</f>
        <v>338.99999999999994</v>
      </c>
      <c r="I76" s="202" t="s">
        <v>64</v>
      </c>
      <c r="J76" s="156"/>
      <c r="K76" s="162"/>
      <c r="L76" s="52"/>
      <c r="M76" s="47"/>
    </row>
    <row r="77" spans="1:13" s="20" customFormat="1" ht="24.6" customHeight="1">
      <c r="A77" s="197">
        <v>1</v>
      </c>
      <c r="B77" s="231" t="s">
        <v>174</v>
      </c>
      <c r="C77" s="231" t="s">
        <v>174</v>
      </c>
      <c r="D77" s="242" t="s">
        <v>175</v>
      </c>
      <c r="E77" s="252"/>
      <c r="F77" s="253"/>
      <c r="G77" s="253"/>
      <c r="H77" s="254">
        <f>SUM(H88,H131,H93,H97,H118,H101,H106,H116,H140,H110,H127,H134,H114)</f>
        <v>13358.999999999998</v>
      </c>
      <c r="I77" s="202"/>
      <c r="J77" s="156"/>
      <c r="K77" s="162"/>
      <c r="L77" s="52"/>
      <c r="M77" s="51"/>
    </row>
    <row r="78" spans="1:13" s="20" customFormat="1" ht="10.199999999999999">
      <c r="A78" s="197">
        <v>1</v>
      </c>
      <c r="B78" s="255"/>
      <c r="C78" s="255"/>
      <c r="D78" s="256"/>
      <c r="E78" s="255"/>
      <c r="F78" s="257"/>
      <c r="G78" s="258" t="s">
        <v>19</v>
      </c>
      <c r="H78" s="259">
        <f>SUM(H85,H128,H102,H89,H94,H117,H121,H119,H132,H111,H98,H136,H138,H139,H115,H124,H125,H126,H107,H137,H122,H113)</f>
        <v>4393.1000000000004</v>
      </c>
      <c r="I78" s="202"/>
      <c r="J78" s="156"/>
      <c r="K78" s="162"/>
      <c r="L78" s="52"/>
      <c r="M78" s="51"/>
    </row>
    <row r="79" spans="1:13" s="20" customFormat="1" ht="10.199999999999999">
      <c r="A79" s="197">
        <v>1</v>
      </c>
      <c r="B79" s="255"/>
      <c r="C79" s="255"/>
      <c r="D79" s="256"/>
      <c r="E79" s="255"/>
      <c r="F79" s="257"/>
      <c r="G79" s="258" t="s">
        <v>56</v>
      </c>
      <c r="H79" s="259">
        <f>SUM(H87,H92,H96,H100,H120,H123,H104)</f>
        <v>6808.6</v>
      </c>
      <c r="I79" s="202"/>
      <c r="J79" s="156"/>
      <c r="K79" s="162"/>
      <c r="L79" s="52"/>
      <c r="M79" s="51"/>
    </row>
    <row r="80" spans="1:13" s="20" customFormat="1" ht="10.199999999999999">
      <c r="A80" s="197">
        <v>1</v>
      </c>
      <c r="B80" s="255"/>
      <c r="C80" s="255"/>
      <c r="D80" s="256"/>
      <c r="E80" s="255"/>
      <c r="F80" s="257"/>
      <c r="G80" s="258" t="s">
        <v>21</v>
      </c>
      <c r="H80" s="259">
        <f>SUM(H129,H133)</f>
        <v>80</v>
      </c>
      <c r="I80" s="202"/>
      <c r="J80" s="156"/>
      <c r="K80" s="162"/>
      <c r="L80" s="52"/>
      <c r="M80" s="51"/>
    </row>
    <row r="81" spans="1:13" s="20" customFormat="1" ht="10.199999999999999">
      <c r="A81" s="197">
        <v>1</v>
      </c>
      <c r="B81" s="255"/>
      <c r="C81" s="255"/>
      <c r="D81" s="256"/>
      <c r="E81" s="255"/>
      <c r="F81" s="257"/>
      <c r="G81" s="258" t="s">
        <v>176</v>
      </c>
      <c r="H81" s="259">
        <f>H130</f>
        <v>1.1000000000000001</v>
      </c>
      <c r="I81" s="202"/>
      <c r="J81" s="156"/>
      <c r="K81" s="162"/>
      <c r="L81" s="52"/>
      <c r="M81" s="51"/>
    </row>
    <row r="82" spans="1:13" s="20" customFormat="1" ht="10.199999999999999">
      <c r="A82" s="197">
        <v>1</v>
      </c>
      <c r="B82" s="255"/>
      <c r="C82" s="255"/>
      <c r="D82" s="256"/>
      <c r="E82" s="255"/>
      <c r="F82" s="257"/>
      <c r="G82" s="258" t="s">
        <v>177</v>
      </c>
      <c r="H82" s="259">
        <f>SUM(H86,H91,H95,H99)</f>
        <v>1176.2</v>
      </c>
      <c r="I82" s="202"/>
      <c r="J82" s="156"/>
      <c r="K82" s="162"/>
      <c r="L82" s="52"/>
      <c r="M82" s="51"/>
    </row>
    <row r="83" spans="1:13" s="20" customFormat="1" ht="10.199999999999999">
      <c r="A83" s="197">
        <v>1</v>
      </c>
      <c r="B83" s="255"/>
      <c r="C83" s="255"/>
      <c r="D83" s="256"/>
      <c r="E83" s="255"/>
      <c r="F83" s="257"/>
      <c r="G83" s="258" t="s">
        <v>178</v>
      </c>
      <c r="H83" s="259">
        <f>H105+H90+H112+H108</f>
        <v>900</v>
      </c>
      <c r="I83" s="202"/>
      <c r="J83" s="156"/>
      <c r="K83" s="162"/>
      <c r="L83" s="52"/>
      <c r="M83" s="51"/>
    </row>
    <row r="84" spans="1:13" s="20" customFormat="1" ht="10.199999999999999">
      <c r="A84" s="197">
        <v>1</v>
      </c>
      <c r="B84" s="255"/>
      <c r="C84" s="255"/>
      <c r="D84" s="256"/>
      <c r="E84" s="255"/>
      <c r="F84" s="257"/>
      <c r="G84" s="258" t="s">
        <v>75</v>
      </c>
      <c r="H84" s="259">
        <f>SUM(H109)</f>
        <v>0</v>
      </c>
      <c r="I84" s="202"/>
      <c r="J84" s="156"/>
      <c r="K84" s="162"/>
      <c r="L84" s="52"/>
      <c r="M84" s="51"/>
    </row>
    <row r="85" spans="1:13" s="20" customFormat="1" ht="20.399999999999999">
      <c r="A85" s="197">
        <v>1</v>
      </c>
      <c r="B85" s="243"/>
      <c r="C85" s="243" t="s">
        <v>179</v>
      </c>
      <c r="D85" s="256" t="s">
        <v>180</v>
      </c>
      <c r="E85" s="260">
        <v>9</v>
      </c>
      <c r="F85" s="261" t="s">
        <v>181</v>
      </c>
      <c r="G85" s="212" t="s">
        <v>19</v>
      </c>
      <c r="H85" s="219"/>
      <c r="I85" s="202" t="s">
        <v>182</v>
      </c>
      <c r="J85" s="790" t="s">
        <v>183</v>
      </c>
      <c r="K85" s="789" t="s">
        <v>184</v>
      </c>
      <c r="L85" s="52">
        <v>100</v>
      </c>
      <c r="M85" s="47" t="s">
        <v>185</v>
      </c>
    </row>
    <row r="86" spans="1:13" s="20" customFormat="1" ht="11.25" customHeight="1">
      <c r="A86" s="197">
        <v>1</v>
      </c>
      <c r="B86" s="243"/>
      <c r="C86" s="243"/>
      <c r="D86" s="256"/>
      <c r="E86" s="260">
        <v>9</v>
      </c>
      <c r="F86" s="261" t="s">
        <v>181</v>
      </c>
      <c r="G86" s="212" t="s">
        <v>177</v>
      </c>
      <c r="H86" s="219">
        <f>349.5+47.7</f>
        <v>397.2</v>
      </c>
      <c r="I86" s="202" t="s">
        <v>182</v>
      </c>
      <c r="J86" s="866" t="s">
        <v>183</v>
      </c>
      <c r="K86" s="859"/>
      <c r="L86" s="788"/>
      <c r="M86" s="47" t="s">
        <v>185</v>
      </c>
    </row>
    <row r="87" spans="1:13" s="20" customFormat="1" ht="11.25" customHeight="1">
      <c r="A87" s="197">
        <v>1</v>
      </c>
      <c r="B87" s="243"/>
      <c r="C87" s="243"/>
      <c r="D87" s="256"/>
      <c r="E87" s="260">
        <v>9</v>
      </c>
      <c r="F87" s="261" t="s">
        <v>181</v>
      </c>
      <c r="G87" s="212" t="s">
        <v>56</v>
      </c>
      <c r="H87" s="219">
        <f>1981+270.3</f>
        <v>2251.3000000000002</v>
      </c>
      <c r="I87" s="202" t="s">
        <v>182</v>
      </c>
      <c r="J87" s="866" t="s">
        <v>183</v>
      </c>
      <c r="K87" s="789"/>
      <c r="L87" s="788"/>
      <c r="M87" s="47" t="s">
        <v>185</v>
      </c>
    </row>
    <row r="88" spans="1:13" s="20" customFormat="1" ht="10.199999999999999">
      <c r="A88" s="197">
        <v>1</v>
      </c>
      <c r="B88" s="243"/>
      <c r="C88" s="243"/>
      <c r="D88" s="256"/>
      <c r="E88" s="260">
        <v>9</v>
      </c>
      <c r="F88" s="261" t="s">
        <v>181</v>
      </c>
      <c r="G88" s="213" t="s">
        <v>24</v>
      </c>
      <c r="H88" s="220">
        <f>SUM(H85:H87)</f>
        <v>2648.5</v>
      </c>
      <c r="I88" s="202"/>
      <c r="J88" s="866"/>
      <c r="K88" s="789"/>
      <c r="L88" s="788"/>
      <c r="M88" s="47"/>
    </row>
    <row r="89" spans="1:13" s="20" customFormat="1" ht="20.399999999999999">
      <c r="A89" s="197">
        <v>1</v>
      </c>
      <c r="B89" s="243"/>
      <c r="C89" s="243" t="s">
        <v>186</v>
      </c>
      <c r="D89" s="256" t="s">
        <v>187</v>
      </c>
      <c r="E89" s="262">
        <v>9</v>
      </c>
      <c r="F89" s="261" t="s">
        <v>181</v>
      </c>
      <c r="G89" s="263" t="s">
        <v>19</v>
      </c>
      <c r="H89" s="219">
        <f>1074.4-600-300</f>
        <v>174.40000000000009</v>
      </c>
      <c r="I89" s="202" t="s">
        <v>182</v>
      </c>
      <c r="J89" s="790" t="s">
        <v>188</v>
      </c>
      <c r="K89" s="789" t="s">
        <v>184</v>
      </c>
      <c r="L89" s="52">
        <v>100</v>
      </c>
      <c r="M89" s="47" t="s">
        <v>189</v>
      </c>
    </row>
    <row r="90" spans="1:13" s="20" customFormat="1" ht="10.199999999999999">
      <c r="A90" s="197">
        <v>1</v>
      </c>
      <c r="B90" s="243"/>
      <c r="C90" s="243"/>
      <c r="D90" s="256"/>
      <c r="E90" s="262">
        <v>9</v>
      </c>
      <c r="F90" s="261" t="s">
        <v>181</v>
      </c>
      <c r="G90" s="260" t="s">
        <v>178</v>
      </c>
      <c r="H90" s="219">
        <f>600+300</f>
        <v>900</v>
      </c>
      <c r="I90" s="202"/>
      <c r="J90" s="879" t="s">
        <v>188</v>
      </c>
      <c r="K90" s="162"/>
      <c r="L90" s="52"/>
      <c r="M90" s="47" t="s">
        <v>189</v>
      </c>
    </row>
    <row r="91" spans="1:13" s="20" customFormat="1" ht="11.25" customHeight="1">
      <c r="A91" s="197">
        <v>1</v>
      </c>
      <c r="B91" s="243"/>
      <c r="C91" s="243"/>
      <c r="D91" s="256"/>
      <c r="E91" s="262">
        <v>9</v>
      </c>
      <c r="F91" s="261" t="s">
        <v>181</v>
      </c>
      <c r="G91" s="263" t="s">
        <v>177</v>
      </c>
      <c r="H91" s="219">
        <v>195.8</v>
      </c>
      <c r="I91" s="202" t="s">
        <v>182</v>
      </c>
      <c r="J91" s="879" t="s">
        <v>188</v>
      </c>
      <c r="K91" s="162"/>
      <c r="L91" s="52"/>
      <c r="M91" s="47" t="s">
        <v>189</v>
      </c>
    </row>
    <row r="92" spans="1:13" s="20" customFormat="1" ht="11.25" customHeight="1">
      <c r="A92" s="197">
        <v>1</v>
      </c>
      <c r="B92" s="243"/>
      <c r="C92" s="243"/>
      <c r="D92" s="256"/>
      <c r="E92" s="262">
        <v>9</v>
      </c>
      <c r="F92" s="261" t="s">
        <v>181</v>
      </c>
      <c r="G92" s="263" t="s">
        <v>56</v>
      </c>
      <c r="H92" s="219">
        <v>1016.5</v>
      </c>
      <c r="I92" s="202" t="s">
        <v>182</v>
      </c>
      <c r="J92" s="879" t="s">
        <v>188</v>
      </c>
      <c r="K92" s="162"/>
      <c r="L92" s="52"/>
      <c r="M92" s="47" t="s">
        <v>189</v>
      </c>
    </row>
    <row r="93" spans="1:13" s="20" customFormat="1" ht="10.199999999999999">
      <c r="A93" s="197">
        <v>1</v>
      </c>
      <c r="B93" s="243"/>
      <c r="C93" s="243"/>
      <c r="D93" s="256"/>
      <c r="E93" s="262">
        <v>9</v>
      </c>
      <c r="F93" s="261" t="s">
        <v>181</v>
      </c>
      <c r="G93" s="213" t="s">
        <v>24</v>
      </c>
      <c r="H93" s="220">
        <f>SUM(H89:H92)</f>
        <v>2286.6999999999998</v>
      </c>
      <c r="I93" s="202"/>
      <c r="J93" s="156"/>
      <c r="K93" s="162"/>
      <c r="L93" s="52"/>
      <c r="M93" s="47"/>
    </row>
    <row r="94" spans="1:13" s="20" customFormat="1" ht="21.6" customHeight="1">
      <c r="A94" s="197">
        <v>1</v>
      </c>
      <c r="B94" s="243"/>
      <c r="C94" s="243" t="s">
        <v>190</v>
      </c>
      <c r="D94" s="256" t="s">
        <v>191</v>
      </c>
      <c r="E94" s="262">
        <v>9</v>
      </c>
      <c r="F94" s="261" t="s">
        <v>181</v>
      </c>
      <c r="G94" s="263" t="s">
        <v>19</v>
      </c>
      <c r="H94" s="219">
        <v>102</v>
      </c>
      <c r="I94" s="202" t="s">
        <v>182</v>
      </c>
      <c r="J94" s="790" t="s">
        <v>183</v>
      </c>
      <c r="K94" s="789" t="s">
        <v>184</v>
      </c>
      <c r="L94" s="52">
        <v>100</v>
      </c>
      <c r="M94" s="47" t="s">
        <v>192</v>
      </c>
    </row>
    <row r="95" spans="1:13" s="20" customFormat="1" ht="11.25" customHeight="1">
      <c r="A95" s="197">
        <v>1</v>
      </c>
      <c r="B95" s="243"/>
      <c r="C95" s="243"/>
      <c r="D95" s="256"/>
      <c r="E95" s="262">
        <v>9</v>
      </c>
      <c r="F95" s="261" t="s">
        <v>181</v>
      </c>
      <c r="G95" s="263" t="s">
        <v>177</v>
      </c>
      <c r="H95" s="219">
        <v>382</v>
      </c>
      <c r="I95" s="202" t="s">
        <v>182</v>
      </c>
      <c r="J95" s="162" t="s">
        <v>183</v>
      </c>
      <c r="K95" s="162"/>
      <c r="L95" s="52"/>
      <c r="M95" s="47" t="s">
        <v>192</v>
      </c>
    </row>
    <row r="96" spans="1:13" s="20" customFormat="1" ht="11.25" customHeight="1">
      <c r="A96" s="197">
        <v>1</v>
      </c>
      <c r="B96" s="243"/>
      <c r="C96" s="243"/>
      <c r="E96" s="262">
        <v>9</v>
      </c>
      <c r="F96" s="261" t="s">
        <v>181</v>
      </c>
      <c r="G96" s="263" t="s">
        <v>56</v>
      </c>
      <c r="H96" s="219">
        <v>2378.3000000000002</v>
      </c>
      <c r="I96" s="202" t="s">
        <v>182</v>
      </c>
      <c r="J96" s="162" t="s">
        <v>183</v>
      </c>
      <c r="K96" s="162"/>
      <c r="L96" s="52"/>
      <c r="M96" s="47" t="s">
        <v>192</v>
      </c>
    </row>
    <row r="97" spans="1:13" s="20" customFormat="1" ht="10.199999999999999">
      <c r="A97" s="197">
        <v>1</v>
      </c>
      <c r="B97" s="243"/>
      <c r="C97" s="265"/>
      <c r="D97" s="256"/>
      <c r="E97" s="262"/>
      <c r="F97" s="261" t="s">
        <v>181</v>
      </c>
      <c r="G97" s="213" t="s">
        <v>24</v>
      </c>
      <c r="H97" s="220">
        <f>SUM(H94:H96)</f>
        <v>2862.3</v>
      </c>
      <c r="I97" s="202"/>
      <c r="J97" s="156"/>
      <c r="K97" s="162"/>
      <c r="L97" s="52"/>
      <c r="M97" s="47"/>
    </row>
    <row r="98" spans="1:13" s="20" customFormat="1" ht="20.399999999999999">
      <c r="A98" s="197">
        <v>1</v>
      </c>
      <c r="B98" s="243"/>
      <c r="C98" s="265" t="s">
        <v>193</v>
      </c>
      <c r="D98" s="266" t="s">
        <v>194</v>
      </c>
      <c r="E98" s="262">
        <v>9</v>
      </c>
      <c r="F98" s="261" t="s">
        <v>181</v>
      </c>
      <c r="G98" s="263" t="s">
        <v>19</v>
      </c>
      <c r="H98" s="219">
        <v>17.899999999999999</v>
      </c>
      <c r="I98" s="202" t="s">
        <v>182</v>
      </c>
      <c r="J98" s="790" t="s">
        <v>183</v>
      </c>
      <c r="K98" s="789" t="s">
        <v>184</v>
      </c>
      <c r="L98" s="52">
        <v>30</v>
      </c>
      <c r="M98" s="47" t="s">
        <v>67</v>
      </c>
    </row>
    <row r="99" spans="1:13" s="20" customFormat="1" ht="10.199999999999999">
      <c r="A99" s="197">
        <v>1</v>
      </c>
      <c r="B99" s="243"/>
      <c r="C99" s="265"/>
      <c r="D99" s="256"/>
      <c r="E99" s="262">
        <v>9</v>
      </c>
      <c r="F99" s="261" t="s">
        <v>181</v>
      </c>
      <c r="G99" s="263" t="s">
        <v>177</v>
      </c>
      <c r="H99" s="219">
        <f>ROUND(804.9/4,1)</f>
        <v>201.2</v>
      </c>
      <c r="I99" s="202" t="s">
        <v>182</v>
      </c>
      <c r="J99" s="162" t="s">
        <v>183</v>
      </c>
      <c r="K99" s="162"/>
      <c r="L99" s="52"/>
      <c r="M99" s="47" t="s">
        <v>67</v>
      </c>
    </row>
    <row r="100" spans="1:13" s="20" customFormat="1" ht="10.199999999999999">
      <c r="A100" s="197">
        <v>1</v>
      </c>
      <c r="B100" s="243"/>
      <c r="C100" s="265"/>
      <c r="D100" s="256"/>
      <c r="E100" s="262">
        <v>9</v>
      </c>
      <c r="F100" s="261" t="s">
        <v>181</v>
      </c>
      <c r="G100" s="263" t="s">
        <v>56</v>
      </c>
      <c r="H100" s="219">
        <f>ROUND(4649.8/4,1)</f>
        <v>1162.5</v>
      </c>
      <c r="I100" s="202" t="s">
        <v>182</v>
      </c>
      <c r="J100" s="162" t="s">
        <v>183</v>
      </c>
      <c r="K100" s="162"/>
      <c r="L100" s="52"/>
      <c r="M100" s="47" t="s">
        <v>67</v>
      </c>
    </row>
    <row r="101" spans="1:13" s="20" customFormat="1" ht="10.199999999999999">
      <c r="A101" s="197">
        <v>1</v>
      </c>
      <c r="B101" s="243"/>
      <c r="C101" s="265"/>
      <c r="D101" s="256"/>
      <c r="E101" s="262">
        <v>9</v>
      </c>
      <c r="F101" s="261" t="s">
        <v>181</v>
      </c>
      <c r="G101" s="213" t="s">
        <v>24</v>
      </c>
      <c r="H101" s="267">
        <f>SUM(H98:H100)</f>
        <v>1381.6</v>
      </c>
      <c r="I101" s="202"/>
      <c r="J101" s="162"/>
      <c r="K101" s="162"/>
      <c r="L101" s="52"/>
      <c r="M101" s="47"/>
    </row>
    <row r="102" spans="1:13" s="20" customFormat="1" ht="20.399999999999999">
      <c r="A102" s="197">
        <v>1</v>
      </c>
      <c r="B102" s="243"/>
      <c r="C102" s="243" t="s">
        <v>195</v>
      </c>
      <c r="D102" s="268" t="s">
        <v>196</v>
      </c>
      <c r="E102" s="262">
        <v>9</v>
      </c>
      <c r="F102" s="261" t="s">
        <v>197</v>
      </c>
      <c r="G102" s="212" t="s">
        <v>19</v>
      </c>
      <c r="H102" s="269">
        <v>144.30000000000001</v>
      </c>
      <c r="I102" s="270" t="s">
        <v>198</v>
      </c>
      <c r="J102" s="790" t="s">
        <v>188</v>
      </c>
      <c r="K102" s="789" t="s">
        <v>199</v>
      </c>
      <c r="L102" s="52">
        <v>1</v>
      </c>
      <c r="M102" s="47" t="s">
        <v>200</v>
      </c>
    </row>
    <row r="103" spans="1:13" s="20" customFormat="1" ht="10.199999999999999">
      <c r="A103" s="197">
        <v>1</v>
      </c>
      <c r="B103" s="243"/>
      <c r="C103" s="243"/>
      <c r="D103" s="271"/>
      <c r="E103" s="262">
        <v>9</v>
      </c>
      <c r="F103" s="261" t="s">
        <v>197</v>
      </c>
      <c r="G103" s="211" t="s">
        <v>75</v>
      </c>
      <c r="H103" s="269"/>
      <c r="I103" s="270"/>
      <c r="J103" s="156"/>
      <c r="K103" s="162"/>
      <c r="L103" s="52"/>
      <c r="M103" s="47" t="s">
        <v>200</v>
      </c>
    </row>
    <row r="104" spans="1:13" s="20" customFormat="1" ht="10.199999999999999">
      <c r="A104" s="197">
        <v>1</v>
      </c>
      <c r="B104" s="243"/>
      <c r="C104" s="243"/>
      <c r="D104" s="271"/>
      <c r="E104" s="262">
        <v>9</v>
      </c>
      <c r="F104" s="261" t="s">
        <v>197</v>
      </c>
      <c r="G104" s="212" t="s">
        <v>56</v>
      </c>
      <c r="H104" s="269"/>
      <c r="I104" s="270"/>
      <c r="J104" s="156"/>
      <c r="K104" s="162"/>
      <c r="L104" s="52"/>
      <c r="M104" s="47" t="s">
        <v>200</v>
      </c>
    </row>
    <row r="105" spans="1:13" s="20" customFormat="1" ht="13.95" customHeight="1">
      <c r="A105" s="197">
        <v>1</v>
      </c>
      <c r="B105" s="243"/>
      <c r="C105" s="243"/>
      <c r="D105" s="272"/>
      <c r="E105" s="262">
        <v>9</v>
      </c>
      <c r="F105" s="261" t="s">
        <v>197</v>
      </c>
      <c r="G105" s="273" t="s">
        <v>178</v>
      </c>
      <c r="H105" s="269"/>
      <c r="I105" s="270"/>
      <c r="J105" s="156"/>
      <c r="K105" s="162"/>
      <c r="L105" s="52"/>
      <c r="M105" s="47" t="s">
        <v>200</v>
      </c>
    </row>
    <row r="106" spans="1:13" s="20" customFormat="1" ht="10.199999999999999">
      <c r="A106" s="197">
        <v>1</v>
      </c>
      <c r="B106" s="243"/>
      <c r="C106" s="243"/>
      <c r="D106" s="256"/>
      <c r="E106" s="262">
        <v>9</v>
      </c>
      <c r="F106" s="261" t="s">
        <v>197</v>
      </c>
      <c r="G106" s="213" t="s">
        <v>24</v>
      </c>
      <c r="H106" s="220">
        <f>SUM(H102:H105)</f>
        <v>144.30000000000001</v>
      </c>
      <c r="I106" s="202"/>
      <c r="J106" s="156"/>
      <c r="K106" s="162"/>
      <c r="L106" s="52"/>
      <c r="M106" s="47"/>
    </row>
    <row r="107" spans="1:13" s="20" customFormat="1" ht="30.6">
      <c r="A107" s="197">
        <v>1</v>
      </c>
      <c r="B107" s="243"/>
      <c r="C107" s="265" t="s">
        <v>201</v>
      </c>
      <c r="D107" s="225" t="s">
        <v>202</v>
      </c>
      <c r="E107" s="274">
        <v>9</v>
      </c>
      <c r="F107" s="214" t="s">
        <v>203</v>
      </c>
      <c r="G107" s="214" t="s">
        <v>19</v>
      </c>
      <c r="H107" s="219">
        <v>265.39999999999998</v>
      </c>
      <c r="I107" s="202" t="s">
        <v>198</v>
      </c>
      <c r="J107" s="790" t="s">
        <v>183</v>
      </c>
      <c r="K107" s="789" t="s">
        <v>204</v>
      </c>
      <c r="L107" s="52">
        <v>100</v>
      </c>
      <c r="M107" s="47" t="s">
        <v>185</v>
      </c>
    </row>
    <row r="108" spans="1:13" s="20" customFormat="1" ht="15" customHeight="1">
      <c r="A108" s="197">
        <v>1</v>
      </c>
      <c r="B108" s="243"/>
      <c r="C108" s="265"/>
      <c r="D108" s="225"/>
      <c r="E108" s="274">
        <v>9</v>
      </c>
      <c r="F108" s="214" t="s">
        <v>203</v>
      </c>
      <c r="G108" s="260" t="s">
        <v>178</v>
      </c>
      <c r="H108" s="219"/>
      <c r="I108" s="202"/>
      <c r="J108" s="156"/>
      <c r="K108" s="162"/>
      <c r="L108" s="52"/>
      <c r="M108" s="47" t="s">
        <v>185</v>
      </c>
    </row>
    <row r="109" spans="1:13" s="20" customFormat="1" ht="15" customHeight="1">
      <c r="A109" s="197">
        <v>1</v>
      </c>
      <c r="B109" s="243"/>
      <c r="C109" s="265"/>
      <c r="D109" s="225"/>
      <c r="E109" s="274">
        <v>9</v>
      </c>
      <c r="F109" s="214" t="s">
        <v>203</v>
      </c>
      <c r="G109" s="260" t="s">
        <v>75</v>
      </c>
      <c r="H109" s="219"/>
      <c r="I109" s="202"/>
      <c r="J109" s="156"/>
      <c r="K109" s="162"/>
      <c r="L109" s="52"/>
      <c r="M109" s="47" t="s">
        <v>185</v>
      </c>
    </row>
    <row r="110" spans="1:13" s="20" customFormat="1" ht="15" customHeight="1">
      <c r="A110" s="197">
        <v>1</v>
      </c>
      <c r="B110" s="243"/>
      <c r="C110" s="265"/>
      <c r="D110" s="209"/>
      <c r="E110" s="274">
        <v>9</v>
      </c>
      <c r="F110" s="214" t="s">
        <v>203</v>
      </c>
      <c r="G110" s="213" t="s">
        <v>24</v>
      </c>
      <c r="H110" s="220">
        <f>SUM(H107:H109)</f>
        <v>265.39999999999998</v>
      </c>
      <c r="I110" s="202"/>
      <c r="J110" s="156"/>
      <c r="K110" s="162"/>
      <c r="L110" s="52"/>
      <c r="M110" s="47"/>
    </row>
    <row r="111" spans="1:13" s="20" customFormat="1" ht="15" customHeight="1">
      <c r="A111" s="197">
        <v>1</v>
      </c>
      <c r="B111" s="243"/>
      <c r="C111" s="265" t="s">
        <v>205</v>
      </c>
      <c r="D111" s="981" t="s">
        <v>206</v>
      </c>
      <c r="E111" s="260">
        <v>6</v>
      </c>
      <c r="F111" s="260" t="s">
        <v>207</v>
      </c>
      <c r="G111" s="257" t="s">
        <v>19</v>
      </c>
      <c r="H111" s="219">
        <f>3311.4-571.9+354.9+161.6-141.9</f>
        <v>3114.1</v>
      </c>
      <c r="I111" s="202" t="s">
        <v>182</v>
      </c>
      <c r="J111" s="790" t="s">
        <v>89</v>
      </c>
      <c r="K111" s="859" t="s">
        <v>208</v>
      </c>
      <c r="L111" s="52">
        <v>1</v>
      </c>
      <c r="M111" s="47" t="s">
        <v>185</v>
      </c>
    </row>
    <row r="112" spans="1:13" s="20" customFormat="1" ht="15" customHeight="1">
      <c r="A112" s="197">
        <v>1</v>
      </c>
      <c r="B112" s="243"/>
      <c r="C112" s="265" t="s">
        <v>205</v>
      </c>
      <c r="D112" s="982"/>
      <c r="E112" s="260">
        <v>6</v>
      </c>
      <c r="F112" s="260" t="s">
        <v>207</v>
      </c>
      <c r="G112" s="260" t="s">
        <v>178</v>
      </c>
      <c r="H112" s="219"/>
      <c r="I112" s="202"/>
      <c r="J112" s="156"/>
      <c r="K112" s="162"/>
      <c r="L112" s="52"/>
      <c r="M112" s="47" t="s">
        <v>185</v>
      </c>
    </row>
    <row r="113" spans="1:13" s="20" customFormat="1" ht="15" customHeight="1">
      <c r="A113" s="197">
        <v>1</v>
      </c>
      <c r="B113" s="243"/>
      <c r="C113" s="265" t="s">
        <v>205</v>
      </c>
      <c r="D113" s="983"/>
      <c r="E113" s="260">
        <v>6</v>
      </c>
      <c r="F113" s="260" t="s">
        <v>2111</v>
      </c>
      <c r="G113" s="257" t="s">
        <v>19</v>
      </c>
      <c r="H113" s="219">
        <v>120</v>
      </c>
      <c r="I113" s="202" t="s">
        <v>182</v>
      </c>
      <c r="J113" s="162" t="s">
        <v>209</v>
      </c>
      <c r="K113" s="162" t="s">
        <v>90</v>
      </c>
      <c r="L113" s="52">
        <v>100</v>
      </c>
      <c r="M113" s="47" t="s">
        <v>185</v>
      </c>
    </row>
    <row r="114" spans="1:13" s="20" customFormat="1" ht="15" customHeight="1">
      <c r="A114" s="197">
        <v>1</v>
      </c>
      <c r="B114" s="243"/>
      <c r="C114" s="243"/>
      <c r="D114" s="276"/>
      <c r="E114" s="260"/>
      <c r="F114" s="260"/>
      <c r="G114" s="213" t="s">
        <v>24</v>
      </c>
      <c r="H114" s="220">
        <f>SUM(H111:H113)</f>
        <v>3234.1</v>
      </c>
      <c r="I114" s="202"/>
      <c r="J114" s="156"/>
      <c r="K114" s="162"/>
      <c r="L114" s="52"/>
      <c r="M114" s="47"/>
    </row>
    <row r="115" spans="1:13" s="20" customFormat="1" ht="15" customHeight="1">
      <c r="A115" s="197">
        <v>1</v>
      </c>
      <c r="B115" s="243"/>
      <c r="C115" s="243" t="s">
        <v>210</v>
      </c>
      <c r="D115" s="276" t="s">
        <v>211</v>
      </c>
      <c r="E115" s="260" t="s">
        <v>213</v>
      </c>
      <c r="F115" s="260" t="s">
        <v>212</v>
      </c>
      <c r="G115" s="257" t="s">
        <v>19</v>
      </c>
      <c r="H115" s="219">
        <v>40</v>
      </c>
      <c r="I115" s="202" t="s">
        <v>182</v>
      </c>
      <c r="J115" s="790" t="s">
        <v>214</v>
      </c>
      <c r="K115" s="789" t="s">
        <v>80</v>
      </c>
      <c r="L115" s="52">
        <v>100</v>
      </c>
      <c r="M115" s="47" t="s">
        <v>185</v>
      </c>
    </row>
    <row r="116" spans="1:13" s="20" customFormat="1" ht="15" customHeight="1">
      <c r="A116" s="197">
        <v>1</v>
      </c>
      <c r="B116" s="243"/>
      <c r="C116" s="243"/>
      <c r="D116" s="278"/>
      <c r="E116" s="262"/>
      <c r="F116" s="197"/>
      <c r="G116" s="213" t="s">
        <v>24</v>
      </c>
      <c r="H116" s="279">
        <f>SUM(H115:H115)</f>
        <v>40</v>
      </c>
      <c r="I116" s="202" t="s">
        <v>182</v>
      </c>
      <c r="J116" s="156"/>
      <c r="K116" s="162"/>
      <c r="L116" s="52"/>
      <c r="M116" s="47"/>
    </row>
    <row r="117" spans="1:13" s="20" customFormat="1" ht="23.4" customHeight="1">
      <c r="A117" s="197">
        <v>1</v>
      </c>
      <c r="B117" s="243"/>
      <c r="C117" s="243" t="s">
        <v>215</v>
      </c>
      <c r="D117" s="280" t="s">
        <v>216</v>
      </c>
      <c r="E117" s="262">
        <v>9</v>
      </c>
      <c r="F117" s="261" t="s">
        <v>181</v>
      </c>
      <c r="G117" s="263" t="s">
        <v>19</v>
      </c>
      <c r="H117" s="219">
        <f>150</f>
        <v>150</v>
      </c>
      <c r="I117" s="202" t="s">
        <v>182</v>
      </c>
      <c r="J117" s="790" t="s">
        <v>217</v>
      </c>
      <c r="K117" s="789" t="s">
        <v>184</v>
      </c>
      <c r="L117" s="52">
        <v>100</v>
      </c>
      <c r="M117" s="47" t="s">
        <v>67</v>
      </c>
    </row>
    <row r="118" spans="1:13" s="20" customFormat="1" ht="15" customHeight="1">
      <c r="A118" s="197">
        <v>1</v>
      </c>
      <c r="B118" s="243"/>
      <c r="C118" s="282"/>
      <c r="D118" s="283"/>
      <c r="E118" s="284"/>
      <c r="F118" s="285" t="s">
        <v>181</v>
      </c>
      <c r="G118" s="286" t="s">
        <v>24</v>
      </c>
      <c r="H118" s="279">
        <f>SUM(H117:H117)</f>
        <v>150</v>
      </c>
      <c r="I118" s="202" t="s">
        <v>182</v>
      </c>
      <c r="J118" s="156"/>
      <c r="K118" s="162"/>
      <c r="L118" s="52"/>
      <c r="M118" s="53"/>
    </row>
    <row r="119" spans="1:13" s="20" customFormat="1" ht="20.25" customHeight="1">
      <c r="A119" s="197">
        <v>1</v>
      </c>
      <c r="B119" s="235"/>
      <c r="C119" s="243" t="s">
        <v>218</v>
      </c>
      <c r="D119" s="278" t="s">
        <v>219</v>
      </c>
      <c r="E119" s="262">
        <v>9</v>
      </c>
      <c r="F119" s="261" t="s">
        <v>220</v>
      </c>
      <c r="G119" s="257" t="s">
        <v>19</v>
      </c>
      <c r="H119" s="219">
        <v>70</v>
      </c>
      <c r="I119" s="202" t="s">
        <v>198</v>
      </c>
      <c r="J119" s="790" t="s">
        <v>221</v>
      </c>
      <c r="K119" s="789" t="s">
        <v>199</v>
      </c>
      <c r="L119" s="52">
        <v>1</v>
      </c>
      <c r="M119" s="47" t="s">
        <v>222</v>
      </c>
    </row>
    <row r="120" spans="1:13" s="20" customFormat="1" ht="17.25" customHeight="1">
      <c r="A120" s="197">
        <v>1</v>
      </c>
      <c r="B120" s="235"/>
      <c r="C120" s="243" t="s">
        <v>218</v>
      </c>
      <c r="D120" s="278"/>
      <c r="E120" s="262">
        <v>9</v>
      </c>
      <c r="F120" s="261" t="s">
        <v>220</v>
      </c>
      <c r="G120" s="260" t="s">
        <v>56</v>
      </c>
      <c r="H120" s="219"/>
      <c r="I120" s="202"/>
      <c r="J120" s="156"/>
      <c r="K120" s="162"/>
      <c r="L120" s="52"/>
      <c r="M120" s="47" t="s">
        <v>222</v>
      </c>
    </row>
    <row r="121" spans="1:13" s="20" customFormat="1" ht="27.6" customHeight="1">
      <c r="A121" s="197">
        <v>1</v>
      </c>
      <c r="B121" s="235"/>
      <c r="C121" s="243" t="s">
        <v>223</v>
      </c>
      <c r="D121" s="278" t="s">
        <v>224</v>
      </c>
      <c r="E121" s="262">
        <v>9</v>
      </c>
      <c r="F121" s="261" t="s">
        <v>225</v>
      </c>
      <c r="G121" s="260" t="s">
        <v>19</v>
      </c>
      <c r="H121" s="219">
        <f>50-40</f>
        <v>10</v>
      </c>
      <c r="I121" s="202" t="s">
        <v>198</v>
      </c>
      <c r="J121" s="790" t="s">
        <v>226</v>
      </c>
      <c r="K121" s="789" t="s">
        <v>204</v>
      </c>
      <c r="L121" s="52">
        <v>20</v>
      </c>
      <c r="M121" s="47" t="s">
        <v>227</v>
      </c>
    </row>
    <row r="122" spans="1:13" s="20" customFormat="1" ht="25.5" customHeight="1">
      <c r="A122" s="197">
        <v>1</v>
      </c>
      <c r="B122" s="243"/>
      <c r="C122" s="243" t="s">
        <v>229</v>
      </c>
      <c r="D122" s="235" t="s">
        <v>230</v>
      </c>
      <c r="E122" s="262">
        <v>9</v>
      </c>
      <c r="F122" s="261" t="s">
        <v>231</v>
      </c>
      <c r="G122" s="260" t="s">
        <v>19</v>
      </c>
      <c r="H122" s="219">
        <v>60</v>
      </c>
      <c r="I122" s="202" t="s">
        <v>198</v>
      </c>
      <c r="J122" s="790" t="s">
        <v>226</v>
      </c>
      <c r="K122" s="789" t="s">
        <v>204</v>
      </c>
      <c r="L122" s="52">
        <v>30</v>
      </c>
      <c r="M122" s="54" t="s">
        <v>228</v>
      </c>
    </row>
    <row r="123" spans="1:13" s="20" customFormat="1" ht="19.2" customHeight="1">
      <c r="A123" s="197">
        <v>1</v>
      </c>
      <c r="B123" s="243"/>
      <c r="C123" s="243" t="s">
        <v>229</v>
      </c>
      <c r="D123" s="235"/>
      <c r="E123" s="262">
        <v>9</v>
      </c>
      <c r="F123" s="261" t="s">
        <v>231</v>
      </c>
      <c r="G123" s="260" t="s">
        <v>56</v>
      </c>
      <c r="H123" s="219"/>
      <c r="I123" s="202"/>
      <c r="J123" s="156"/>
      <c r="K123" s="162"/>
      <c r="L123" s="52"/>
      <c r="M123" s="54" t="s">
        <v>228</v>
      </c>
    </row>
    <row r="124" spans="1:13" s="20" customFormat="1" ht="30.6">
      <c r="A124" s="197">
        <v>1</v>
      </c>
      <c r="B124" s="243"/>
      <c r="C124" s="243" t="s">
        <v>232</v>
      </c>
      <c r="D124" s="808" t="s">
        <v>233</v>
      </c>
      <c r="E124" s="260">
        <v>9</v>
      </c>
      <c r="F124" s="261" t="s">
        <v>234</v>
      </c>
      <c r="G124" s="260" t="s">
        <v>19</v>
      </c>
      <c r="H124" s="219">
        <f>30-15</f>
        <v>15</v>
      </c>
      <c r="I124" s="202" t="s">
        <v>198</v>
      </c>
      <c r="J124" s="790" t="s">
        <v>226</v>
      </c>
      <c r="K124" s="789" t="s">
        <v>235</v>
      </c>
      <c r="L124" s="52">
        <v>1</v>
      </c>
      <c r="M124" s="47" t="s">
        <v>192</v>
      </c>
    </row>
    <row r="125" spans="1:13" s="20" customFormat="1" ht="30.6">
      <c r="A125" s="197">
        <v>1</v>
      </c>
      <c r="B125" s="243"/>
      <c r="C125" s="243" t="s">
        <v>236</v>
      </c>
      <c r="D125" s="808" t="s">
        <v>237</v>
      </c>
      <c r="E125" s="260">
        <v>9</v>
      </c>
      <c r="F125" s="261" t="s">
        <v>234</v>
      </c>
      <c r="G125" s="257" t="s">
        <v>19</v>
      </c>
      <c r="H125" s="219">
        <f>30-15</f>
        <v>15</v>
      </c>
      <c r="I125" s="202" t="s">
        <v>198</v>
      </c>
      <c r="J125" s="790" t="s">
        <v>226</v>
      </c>
      <c r="K125" s="789" t="s">
        <v>235</v>
      </c>
      <c r="L125" s="52">
        <v>1</v>
      </c>
      <c r="M125" s="47" t="s">
        <v>228</v>
      </c>
    </row>
    <row r="126" spans="1:13" s="20" customFormat="1" ht="20.399999999999999">
      <c r="A126" s="197">
        <v>1</v>
      </c>
      <c r="B126" s="243"/>
      <c r="C126" s="243" t="s">
        <v>238</v>
      </c>
      <c r="D126" s="809" t="s">
        <v>239</v>
      </c>
      <c r="E126" s="260">
        <v>9</v>
      </c>
      <c r="F126" s="261" t="s">
        <v>234</v>
      </c>
      <c r="G126" s="257" t="s">
        <v>19</v>
      </c>
      <c r="H126" s="219">
        <f>20-10</f>
        <v>10</v>
      </c>
      <c r="I126" s="202" t="s">
        <v>198</v>
      </c>
      <c r="J126" s="790" t="s">
        <v>226</v>
      </c>
      <c r="K126" s="789" t="s">
        <v>235</v>
      </c>
      <c r="L126" s="52">
        <v>1</v>
      </c>
      <c r="M126" s="47" t="s">
        <v>67</v>
      </c>
    </row>
    <row r="127" spans="1:13" s="20" customFormat="1" ht="10.199999999999999">
      <c r="A127" s="197">
        <v>1</v>
      </c>
      <c r="B127" s="243"/>
      <c r="C127" s="243"/>
      <c r="D127" s="809"/>
      <c r="E127" s="257"/>
      <c r="F127" s="261"/>
      <c r="G127" s="213" t="s">
        <v>24</v>
      </c>
      <c r="H127" s="220">
        <f>SUM(H119:H126)</f>
        <v>180</v>
      </c>
      <c r="I127" s="202"/>
      <c r="J127" s="156"/>
      <c r="K127" s="162"/>
      <c r="L127" s="52"/>
      <c r="M127" s="47"/>
    </row>
    <row r="128" spans="1:13" s="20" customFormat="1" ht="20.399999999999999">
      <c r="A128" s="197">
        <v>1</v>
      </c>
      <c r="B128" s="243"/>
      <c r="C128" s="243" t="s">
        <v>240</v>
      </c>
      <c r="D128" s="278" t="s">
        <v>241</v>
      </c>
      <c r="E128" s="262">
        <v>9</v>
      </c>
      <c r="F128" s="261" t="s">
        <v>181</v>
      </c>
      <c r="G128" s="212" t="s">
        <v>19</v>
      </c>
      <c r="H128" s="219">
        <v>65</v>
      </c>
      <c r="I128" s="202" t="s">
        <v>58</v>
      </c>
      <c r="J128" s="790" t="s">
        <v>242</v>
      </c>
      <c r="K128" s="789" t="s">
        <v>243</v>
      </c>
      <c r="L128" s="52">
        <v>1</v>
      </c>
      <c r="M128" s="47" t="s">
        <v>67</v>
      </c>
    </row>
    <row r="129" spans="1:13" s="20" customFormat="1" ht="10.199999999999999">
      <c r="A129" s="197">
        <v>1</v>
      </c>
      <c r="B129" s="243"/>
      <c r="C129" s="243"/>
      <c r="D129" s="278"/>
      <c r="E129" s="262">
        <v>9</v>
      </c>
      <c r="F129" s="261" t="s">
        <v>181</v>
      </c>
      <c r="G129" s="212" t="s">
        <v>21</v>
      </c>
      <c r="H129" s="219">
        <v>80</v>
      </c>
      <c r="I129" s="202"/>
      <c r="J129" s="156"/>
      <c r="K129" s="162"/>
      <c r="L129" s="52"/>
      <c r="M129" s="47" t="s">
        <v>67</v>
      </c>
    </row>
    <row r="130" spans="1:13" s="20" customFormat="1" ht="10.199999999999999">
      <c r="A130" s="197">
        <v>1</v>
      </c>
      <c r="B130" s="243"/>
      <c r="C130" s="243"/>
      <c r="D130" s="278"/>
      <c r="E130" s="262">
        <v>9</v>
      </c>
      <c r="F130" s="261" t="s">
        <v>181</v>
      </c>
      <c r="G130" s="212" t="s">
        <v>176</v>
      </c>
      <c r="H130" s="219">
        <v>1.1000000000000001</v>
      </c>
      <c r="I130" s="202"/>
      <c r="J130" s="156"/>
      <c r="K130" s="162"/>
      <c r="L130" s="52"/>
      <c r="M130" s="47" t="s">
        <v>67</v>
      </c>
    </row>
    <row r="131" spans="1:13" s="20" customFormat="1" ht="10.199999999999999">
      <c r="A131" s="197">
        <v>1</v>
      </c>
      <c r="B131" s="243"/>
      <c r="C131" s="243"/>
      <c r="D131" s="278"/>
      <c r="E131" s="262">
        <v>9</v>
      </c>
      <c r="F131" s="261" t="s">
        <v>181</v>
      </c>
      <c r="G131" s="213" t="s">
        <v>24</v>
      </c>
      <c r="H131" s="279">
        <f>SUM(H128:H130)</f>
        <v>146.1</v>
      </c>
      <c r="I131" s="202"/>
      <c r="J131" s="156"/>
      <c r="K131" s="162"/>
      <c r="L131" s="52"/>
      <c r="M131" s="47"/>
    </row>
    <row r="132" spans="1:13" s="20" customFormat="1" ht="30.6">
      <c r="A132" s="197">
        <v>1</v>
      </c>
      <c r="B132" s="243"/>
      <c r="C132" s="243" t="s">
        <v>244</v>
      </c>
      <c r="D132" s="256" t="s">
        <v>245</v>
      </c>
      <c r="E132" s="260">
        <v>2</v>
      </c>
      <c r="F132" s="260" t="s">
        <v>246</v>
      </c>
      <c r="G132" s="288" t="s">
        <v>19</v>
      </c>
      <c r="H132" s="269">
        <f>50-50</f>
        <v>0</v>
      </c>
      <c r="I132" s="202" t="s">
        <v>198</v>
      </c>
      <c r="J132" s="790" t="s">
        <v>247</v>
      </c>
      <c r="K132" s="789" t="s">
        <v>248</v>
      </c>
      <c r="L132" s="52">
        <v>30</v>
      </c>
      <c r="M132" s="55" t="s">
        <v>67</v>
      </c>
    </row>
    <row r="133" spans="1:13" s="20" customFormat="1" ht="10.199999999999999">
      <c r="A133" s="197">
        <v>1</v>
      </c>
      <c r="B133" s="243"/>
      <c r="C133" s="243"/>
      <c r="D133" s="256"/>
      <c r="E133" s="260">
        <v>2</v>
      </c>
      <c r="F133" s="260" t="s">
        <v>246</v>
      </c>
      <c r="G133" s="289" t="s">
        <v>21</v>
      </c>
      <c r="H133" s="269"/>
      <c r="I133" s="202"/>
      <c r="J133" s="156"/>
      <c r="K133" s="162"/>
      <c r="L133" s="52"/>
      <c r="M133" s="55" t="s">
        <v>67</v>
      </c>
    </row>
    <row r="134" spans="1:13" s="20" customFormat="1" ht="10.199999999999999">
      <c r="A134" s="197">
        <v>1</v>
      </c>
      <c r="B134" s="243"/>
      <c r="C134" s="243"/>
      <c r="D134" s="256"/>
      <c r="E134" s="260"/>
      <c r="F134" s="260"/>
      <c r="G134" s="290" t="s">
        <v>24</v>
      </c>
      <c r="H134" s="267">
        <f>SUM(H132:H133)</f>
        <v>0</v>
      </c>
      <c r="I134" s="202"/>
      <c r="J134" s="156"/>
      <c r="K134" s="162"/>
      <c r="L134" s="52"/>
      <c r="M134" s="55"/>
    </row>
    <row r="135" spans="1:13" s="20" customFormat="1" ht="16.5" customHeight="1">
      <c r="A135" s="197">
        <v>1</v>
      </c>
      <c r="B135" s="243"/>
      <c r="C135" s="243" t="s">
        <v>249</v>
      </c>
      <c r="D135" s="291" t="s">
        <v>250</v>
      </c>
      <c r="E135" s="262">
        <v>9</v>
      </c>
      <c r="F135" s="197" t="s">
        <v>251</v>
      </c>
      <c r="G135" s="260"/>
      <c r="H135" s="292"/>
      <c r="I135" s="202"/>
      <c r="J135" s="156"/>
      <c r="K135" s="162"/>
      <c r="L135" s="52"/>
      <c r="M135" s="47"/>
    </row>
    <row r="136" spans="1:13" s="20" customFormat="1" ht="15" customHeight="1">
      <c r="A136" s="197">
        <v>1</v>
      </c>
      <c r="B136" s="243"/>
      <c r="C136" s="243"/>
      <c r="D136" s="293" t="s">
        <v>252</v>
      </c>
      <c r="E136" s="262">
        <v>9</v>
      </c>
      <c r="F136" s="197" t="s">
        <v>251</v>
      </c>
      <c r="G136" s="257" t="s">
        <v>19</v>
      </c>
      <c r="H136" s="294">
        <f>100-80</f>
        <v>20</v>
      </c>
      <c r="I136" s="202" t="s">
        <v>198</v>
      </c>
      <c r="J136" s="790" t="s">
        <v>226</v>
      </c>
      <c r="K136" s="789" t="s">
        <v>204</v>
      </c>
      <c r="L136" s="52">
        <v>30</v>
      </c>
      <c r="M136" s="47" t="s">
        <v>189</v>
      </c>
    </row>
    <row r="137" spans="1:13" s="20" customFormat="1" ht="13.2" customHeight="1">
      <c r="A137" s="197">
        <v>1</v>
      </c>
      <c r="B137" s="243"/>
      <c r="C137" s="243"/>
      <c r="D137" s="293" t="s">
        <v>253</v>
      </c>
      <c r="E137" s="262">
        <v>9</v>
      </c>
      <c r="F137" s="197" t="s">
        <v>251</v>
      </c>
      <c r="G137" s="257" t="s">
        <v>19</v>
      </c>
      <c r="H137" s="294"/>
      <c r="I137" s="202" t="s">
        <v>198</v>
      </c>
      <c r="J137" s="790" t="s">
        <v>226</v>
      </c>
      <c r="K137" s="789" t="s">
        <v>204</v>
      </c>
      <c r="L137" s="52">
        <v>20</v>
      </c>
      <c r="M137" s="47" t="s">
        <v>227</v>
      </c>
    </row>
    <row r="138" spans="1:13" s="20" customFormat="1" ht="12.6" customHeight="1">
      <c r="A138" s="197">
        <v>1</v>
      </c>
      <c r="B138" s="243"/>
      <c r="C138" s="243"/>
      <c r="D138" s="293" t="s">
        <v>254</v>
      </c>
      <c r="E138" s="262">
        <v>9</v>
      </c>
      <c r="F138" s="197" t="s">
        <v>251</v>
      </c>
      <c r="G138" s="257" t="s">
        <v>19</v>
      </c>
      <c r="H138" s="294"/>
      <c r="I138" s="202" t="s">
        <v>198</v>
      </c>
      <c r="J138" s="155"/>
      <c r="K138" s="161"/>
      <c r="L138" s="45"/>
      <c r="M138" s="47" t="s">
        <v>228</v>
      </c>
    </row>
    <row r="139" spans="1:13" s="20" customFormat="1" ht="12.6" customHeight="1">
      <c r="A139" s="197">
        <v>1</v>
      </c>
      <c r="B139" s="243"/>
      <c r="C139" s="243"/>
      <c r="D139" s="293" t="s">
        <v>255</v>
      </c>
      <c r="E139" s="262">
        <v>9</v>
      </c>
      <c r="F139" s="197" t="s">
        <v>251</v>
      </c>
      <c r="G139" s="257" t="s">
        <v>19</v>
      </c>
      <c r="H139" s="294"/>
      <c r="I139" s="202" t="s">
        <v>198</v>
      </c>
      <c r="J139" s="155"/>
      <c r="K139" s="161"/>
      <c r="L139" s="45"/>
      <c r="M139" s="47" t="s">
        <v>256</v>
      </c>
    </row>
    <row r="140" spans="1:13" s="20" customFormat="1" ht="12.6" customHeight="1">
      <c r="A140" s="197">
        <v>1</v>
      </c>
      <c r="B140" s="243"/>
      <c r="C140" s="295"/>
      <c r="E140" s="296"/>
      <c r="F140" s="297"/>
      <c r="G140" s="298" t="s">
        <v>24</v>
      </c>
      <c r="H140" s="299">
        <f>SUM(H136:H139)</f>
        <v>20</v>
      </c>
      <c r="I140" s="202"/>
      <c r="J140" s="155"/>
      <c r="K140" s="161"/>
      <c r="L140" s="45"/>
      <c r="M140" s="56"/>
    </row>
    <row r="141" spans="1:13" s="20" customFormat="1" ht="12.6" hidden="1" customHeight="1">
      <c r="A141" s="197">
        <v>1</v>
      </c>
      <c r="B141" s="243"/>
      <c r="C141" s="243"/>
      <c r="D141" s="278"/>
      <c r="E141" s="300"/>
      <c r="F141" s="197"/>
      <c r="G141" s="301" t="s">
        <v>257</v>
      </c>
      <c r="H141" s="301">
        <f>SUM(H101,H116,H118,H97,H93,H106,H131,H88,H76,H73,H69,H66,H64,H60,H58,H56,H53,H50,H21,H19,H15,H13,H9,H29,H24,H31,H140,H35,H38,H110,H42,H134,H127,H114)</f>
        <v>26042.3</v>
      </c>
      <c r="I141" s="202"/>
      <c r="J141" s="155"/>
      <c r="K141" s="161"/>
      <c r="L141" s="45"/>
      <c r="M141" s="47"/>
    </row>
    <row r="142" spans="1:13" s="20" customFormat="1" ht="12.6" hidden="1" customHeight="1">
      <c r="A142" s="197">
        <v>1</v>
      </c>
      <c r="B142" s="243"/>
      <c r="C142" s="243"/>
      <c r="D142" s="278"/>
      <c r="E142" s="262"/>
      <c r="F142" s="302"/>
      <c r="G142" s="257" t="s">
        <v>19</v>
      </c>
      <c r="H142" s="211">
        <f>SUM(H8,H11,H14,H16,H20,H44,H52,H57,H59,H61,H65,H68,H72,H75,H85,H128,H102,H89,H94,H117,H121,H119,H132,H98,H30,H136,H138,H139,H55,H115,H32,H125,H124,H28,H107,H39,H126,H137,H111,H122,H113)</f>
        <v>11239.3</v>
      </c>
      <c r="I142" s="202"/>
      <c r="J142" s="155"/>
      <c r="K142" s="161"/>
      <c r="L142" s="45"/>
      <c r="M142" s="47"/>
    </row>
    <row r="143" spans="1:13" s="20" customFormat="1" ht="12.75" hidden="1" customHeight="1">
      <c r="A143" s="197">
        <v>1</v>
      </c>
      <c r="B143" s="243"/>
      <c r="C143" s="243"/>
      <c r="D143" s="278"/>
      <c r="E143" s="284"/>
      <c r="F143" s="302"/>
      <c r="G143" s="260" t="s">
        <v>21</v>
      </c>
      <c r="H143" s="211">
        <f>SUM(H54,H47,H27,H129,H133)</f>
        <v>541.70000000000005</v>
      </c>
      <c r="I143" s="202"/>
      <c r="J143" s="155"/>
      <c r="K143" s="161"/>
      <c r="L143" s="45"/>
      <c r="M143" s="47"/>
    </row>
    <row r="144" spans="1:13" s="20" customFormat="1" ht="12.6" hidden="1" customHeight="1">
      <c r="A144" s="197">
        <v>1</v>
      </c>
      <c r="B144" s="243"/>
      <c r="C144" s="243"/>
      <c r="D144" s="278"/>
      <c r="E144" s="284"/>
      <c r="F144" s="302"/>
      <c r="G144" s="260" t="s">
        <v>56</v>
      </c>
      <c r="H144" s="211">
        <f>SUM(H100,H96,H92,H87,H62,H10,H22,H33,H40,H37,H120,H123,H104)</f>
        <v>7783.6</v>
      </c>
      <c r="I144" s="202"/>
      <c r="J144" s="155"/>
      <c r="K144" s="161"/>
      <c r="L144" s="45"/>
      <c r="M144" s="47"/>
    </row>
    <row r="145" spans="1:13" s="20" customFormat="1" ht="12.6" hidden="1" customHeight="1">
      <c r="A145" s="197">
        <v>1</v>
      </c>
      <c r="B145" s="243"/>
      <c r="C145" s="243"/>
      <c r="D145" s="278"/>
      <c r="E145" s="284"/>
      <c r="F145" s="302"/>
      <c r="G145" s="260" t="s">
        <v>59</v>
      </c>
      <c r="H145" s="211">
        <f>SUM(H63,H12,H23,H34,H36,H41)</f>
        <v>294.60000000000002</v>
      </c>
      <c r="I145" s="202"/>
      <c r="J145" s="155"/>
      <c r="K145" s="161"/>
      <c r="L145" s="45"/>
      <c r="M145" s="47"/>
    </row>
    <row r="146" spans="1:13" s="20" customFormat="1" ht="12.6" hidden="1" customHeight="1">
      <c r="A146" s="197">
        <v>1</v>
      </c>
      <c r="B146" s="243"/>
      <c r="C146" s="243"/>
      <c r="D146" s="278"/>
      <c r="E146" s="284"/>
      <c r="F146" s="302"/>
      <c r="G146" s="260" t="s">
        <v>16</v>
      </c>
      <c r="H146" s="211">
        <f>SUM(H48,H25)</f>
        <v>4105.8</v>
      </c>
      <c r="I146" s="202"/>
      <c r="J146" s="155"/>
      <c r="K146" s="161"/>
      <c r="L146" s="45"/>
      <c r="M146" s="47"/>
    </row>
    <row r="147" spans="1:13" s="20" customFormat="1" ht="12.6" hidden="1" customHeight="1">
      <c r="A147" s="197">
        <v>1</v>
      </c>
      <c r="B147" s="243"/>
      <c r="C147" s="243"/>
      <c r="D147" s="278"/>
      <c r="E147" s="284"/>
      <c r="F147" s="302"/>
      <c r="G147" s="260" t="s">
        <v>22</v>
      </c>
      <c r="H147" s="211"/>
      <c r="I147" s="202"/>
      <c r="J147" s="155"/>
      <c r="K147" s="161"/>
      <c r="L147" s="45"/>
      <c r="M147" s="47"/>
    </row>
    <row r="148" spans="1:13" s="20" customFormat="1" ht="12.6" hidden="1" customHeight="1">
      <c r="A148" s="197">
        <v>1</v>
      </c>
      <c r="B148" s="243"/>
      <c r="C148" s="243"/>
      <c r="D148" s="278"/>
      <c r="E148" s="284"/>
      <c r="F148" s="302"/>
      <c r="G148" s="260" t="s">
        <v>75</v>
      </c>
      <c r="H148" s="211">
        <f>H109+H103+H45</f>
        <v>0</v>
      </c>
      <c r="I148" s="202"/>
      <c r="J148" s="155"/>
      <c r="K148" s="161"/>
      <c r="L148" s="45"/>
      <c r="M148" s="47"/>
    </row>
    <row r="149" spans="1:13" s="20" customFormat="1" ht="12.6" hidden="1" customHeight="1">
      <c r="A149" s="197">
        <v>1</v>
      </c>
      <c r="B149" s="243"/>
      <c r="C149" s="243"/>
      <c r="D149" s="278"/>
      <c r="E149" s="284"/>
      <c r="F149" s="302"/>
      <c r="G149" s="260" t="s">
        <v>258</v>
      </c>
      <c r="H149" s="211"/>
      <c r="I149" s="202"/>
      <c r="J149" s="155"/>
      <c r="K149" s="161"/>
      <c r="L149" s="45"/>
      <c r="M149" s="47"/>
    </row>
    <row r="150" spans="1:13" s="20" customFormat="1" ht="12.6" hidden="1" customHeight="1">
      <c r="A150" s="197">
        <v>1</v>
      </c>
      <c r="B150" s="243"/>
      <c r="C150" s="243"/>
      <c r="D150" s="278"/>
      <c r="E150" s="284"/>
      <c r="F150" s="302"/>
      <c r="G150" s="260" t="s">
        <v>178</v>
      </c>
      <c r="H150" s="211">
        <f>SUM(H105,H112,H90,H108,)</f>
        <v>900</v>
      </c>
      <c r="I150" s="202"/>
      <c r="J150" s="155"/>
      <c r="K150" s="161"/>
      <c r="L150" s="45"/>
      <c r="M150" s="47"/>
    </row>
    <row r="151" spans="1:13" s="20" customFormat="1" ht="12.6" hidden="1" customHeight="1">
      <c r="A151" s="197">
        <v>1</v>
      </c>
      <c r="B151" s="243"/>
      <c r="C151" s="243"/>
      <c r="D151" s="278"/>
      <c r="E151" s="284"/>
      <c r="F151" s="302"/>
      <c r="G151" s="260" t="s">
        <v>177</v>
      </c>
      <c r="H151" s="211">
        <f>H99+H95+H91+H86</f>
        <v>1176.2</v>
      </c>
      <c r="I151" s="202"/>
      <c r="J151" s="155"/>
      <c r="K151" s="161"/>
      <c r="L151" s="45"/>
      <c r="M151" s="47"/>
    </row>
    <row r="152" spans="1:13" s="20" customFormat="1" ht="12.6" hidden="1" customHeight="1">
      <c r="A152" s="197">
        <v>1</v>
      </c>
      <c r="B152" s="243"/>
      <c r="C152" s="243"/>
      <c r="D152" s="278"/>
      <c r="E152" s="284"/>
      <c r="F152" s="302"/>
      <c r="G152" s="257" t="s">
        <v>259</v>
      </c>
      <c r="H152" s="211"/>
      <c r="I152" s="202"/>
      <c r="J152" s="155"/>
      <c r="K152" s="161"/>
      <c r="L152" s="45"/>
      <c r="M152" s="47"/>
    </row>
    <row r="153" spans="1:13" s="20" customFormat="1" ht="12.6" hidden="1" customHeight="1">
      <c r="A153" s="197">
        <v>1</v>
      </c>
      <c r="B153" s="243"/>
      <c r="C153" s="243"/>
      <c r="D153" s="278"/>
      <c r="E153" s="284"/>
      <c r="F153" s="302"/>
      <c r="G153" s="260" t="s">
        <v>23</v>
      </c>
      <c r="H153" s="211">
        <f>H46</f>
        <v>0</v>
      </c>
      <c r="I153" s="202"/>
      <c r="J153" s="155"/>
      <c r="K153" s="161"/>
      <c r="L153" s="45"/>
      <c r="M153" s="47"/>
    </row>
    <row r="154" spans="1:13" s="20" customFormat="1" ht="12.6" hidden="1" customHeight="1">
      <c r="A154" s="197">
        <v>1</v>
      </c>
      <c r="B154" s="243"/>
      <c r="C154" s="243"/>
      <c r="D154" s="278"/>
      <c r="E154" s="284"/>
      <c r="F154" s="302"/>
      <c r="G154" s="260" t="s">
        <v>42</v>
      </c>
      <c r="H154" s="212">
        <f>SUM(H26,H49)</f>
        <v>0</v>
      </c>
      <c r="I154" s="202"/>
      <c r="J154" s="155"/>
      <c r="K154" s="161"/>
      <c r="L154" s="45"/>
      <c r="M154" s="47"/>
    </row>
    <row r="155" spans="1:13" s="20" customFormat="1" ht="12.6" hidden="1" customHeight="1">
      <c r="A155" s="197">
        <v>1</v>
      </c>
      <c r="B155" s="243"/>
      <c r="C155" s="243"/>
      <c r="D155" s="278"/>
      <c r="E155" s="284"/>
      <c r="F155" s="302"/>
      <c r="G155" s="260" t="s">
        <v>18</v>
      </c>
      <c r="H155" s="211"/>
      <c r="I155" s="202"/>
      <c r="J155" s="155"/>
      <c r="K155" s="161"/>
      <c r="L155" s="45"/>
      <c r="M155" s="47"/>
    </row>
    <row r="156" spans="1:13" s="20" customFormat="1" ht="12.6" hidden="1" customHeight="1">
      <c r="A156" s="197">
        <v>1</v>
      </c>
      <c r="B156" s="243"/>
      <c r="C156" s="243"/>
      <c r="D156" s="278"/>
      <c r="E156" s="284"/>
      <c r="F156" s="302"/>
      <c r="G156" s="257" t="s">
        <v>176</v>
      </c>
      <c r="H156" s="211">
        <f>H130</f>
        <v>1.1000000000000001</v>
      </c>
      <c r="I156" s="202"/>
      <c r="J156" s="155"/>
      <c r="K156" s="161"/>
      <c r="L156" s="45"/>
      <c r="M156" s="47"/>
    </row>
    <row r="157" spans="1:13" s="20" customFormat="1" ht="12.6" hidden="1" customHeight="1">
      <c r="A157" s="197">
        <v>1</v>
      </c>
      <c r="B157" s="243"/>
      <c r="C157" s="243"/>
      <c r="D157" s="278"/>
      <c r="E157" s="284"/>
      <c r="F157" s="302"/>
      <c r="G157" s="301" t="s">
        <v>257</v>
      </c>
      <c r="H157" s="301">
        <f>SUM(H142:H156)</f>
        <v>26042.299999999996</v>
      </c>
      <c r="I157" s="202"/>
      <c r="J157" s="155"/>
      <c r="K157" s="161"/>
      <c r="L157" s="45"/>
      <c r="M157" s="47"/>
    </row>
    <row r="158" spans="1:13" s="20" customFormat="1" ht="12.6" hidden="1" customHeight="1">
      <c r="A158" s="197">
        <v>1</v>
      </c>
      <c r="B158" s="243"/>
      <c r="C158" s="243"/>
      <c r="D158" s="278"/>
      <c r="E158" s="262"/>
      <c r="F158" s="197"/>
      <c r="G158" s="303"/>
      <c r="H158" s="211">
        <f>H141-H157</f>
        <v>0</v>
      </c>
      <c r="I158" s="202"/>
      <c r="J158" s="155"/>
      <c r="K158" s="161"/>
      <c r="L158" s="45"/>
      <c r="M158" s="47"/>
    </row>
    <row r="159" spans="1:13" s="20" customFormat="1" ht="12.6" customHeight="1">
      <c r="A159" s="946"/>
      <c r="B159" s="946"/>
      <c r="C159" s="946"/>
      <c r="D159" s="946" t="s">
        <v>2088</v>
      </c>
      <c r="E159" s="947"/>
      <c r="F159" s="946"/>
      <c r="G159" s="946"/>
      <c r="H159" s="946"/>
      <c r="I159" s="946"/>
      <c r="J159" s="946"/>
      <c r="K159" s="946"/>
      <c r="L159" s="946"/>
      <c r="M159" s="948"/>
    </row>
    <row r="160" spans="1:13" ht="20.399999999999999">
      <c r="A160" s="304">
        <v>2</v>
      </c>
      <c r="B160" s="305"/>
      <c r="C160" s="305"/>
      <c r="D160" s="306" t="s">
        <v>260</v>
      </c>
      <c r="E160" s="307"/>
      <c r="F160" s="308"/>
      <c r="G160" s="307"/>
      <c r="H160" s="307"/>
      <c r="I160" s="309"/>
      <c r="J160" s="157"/>
      <c r="K160" s="163"/>
      <c r="L160" s="57"/>
      <c r="M160" s="58"/>
    </row>
    <row r="161" spans="1:13" ht="20.399999999999999">
      <c r="A161" s="214">
        <v>2</v>
      </c>
      <c r="B161" s="310" t="s">
        <v>261</v>
      </c>
      <c r="C161" s="310" t="s">
        <v>261</v>
      </c>
      <c r="D161" s="311" t="s">
        <v>262</v>
      </c>
      <c r="E161" s="312">
        <v>10</v>
      </c>
      <c r="F161" s="210" t="s">
        <v>263</v>
      </c>
      <c r="G161" s="313" t="s">
        <v>19</v>
      </c>
      <c r="H161" s="219">
        <f>80-10-10</f>
        <v>60</v>
      </c>
      <c r="I161" s="309" t="s">
        <v>64</v>
      </c>
      <c r="J161" s="181" t="s">
        <v>264</v>
      </c>
      <c r="K161" s="787" t="s">
        <v>265</v>
      </c>
      <c r="L161" s="155" t="s">
        <v>266</v>
      </c>
      <c r="M161" s="60"/>
    </row>
    <row r="162" spans="1:13" ht="12.75" customHeight="1">
      <c r="A162" s="214">
        <v>2</v>
      </c>
      <c r="B162" s="215"/>
      <c r="C162" s="215"/>
      <c r="D162" s="209"/>
      <c r="E162" s="210">
        <v>10</v>
      </c>
      <c r="F162" s="209"/>
      <c r="G162" s="314" t="s">
        <v>257</v>
      </c>
      <c r="H162" s="220">
        <f>SUM(H161)</f>
        <v>60</v>
      </c>
      <c r="I162" s="309"/>
      <c r="J162" s="880"/>
      <c r="K162" s="881"/>
      <c r="L162" s="882"/>
      <c r="M162" s="60"/>
    </row>
    <row r="163" spans="1:13" ht="20.399999999999999">
      <c r="A163" s="214">
        <v>2</v>
      </c>
      <c r="B163" s="310" t="s">
        <v>267</v>
      </c>
      <c r="C163" s="310" t="s">
        <v>267</v>
      </c>
      <c r="D163" s="315" t="s">
        <v>268</v>
      </c>
      <c r="E163" s="312">
        <v>32</v>
      </c>
      <c r="F163" s="210" t="s">
        <v>269</v>
      </c>
      <c r="G163" s="313" t="s">
        <v>19</v>
      </c>
      <c r="H163" s="219">
        <f>50+10</f>
        <v>60</v>
      </c>
      <c r="I163" s="309" t="s">
        <v>64</v>
      </c>
      <c r="J163" s="181" t="s">
        <v>270</v>
      </c>
      <c r="K163" s="787" t="s">
        <v>271</v>
      </c>
      <c r="L163" s="45">
        <v>50</v>
      </c>
      <c r="M163" s="60"/>
    </row>
    <row r="164" spans="1:13" ht="12.75" customHeight="1">
      <c r="A164" s="214">
        <v>2</v>
      </c>
      <c r="B164" s="215"/>
      <c r="C164" s="215"/>
      <c r="D164" s="209"/>
      <c r="E164" s="210">
        <v>32</v>
      </c>
      <c r="F164" s="209"/>
      <c r="G164" s="314" t="s">
        <v>257</v>
      </c>
      <c r="H164" s="220">
        <f>SUM(H163)</f>
        <v>60</v>
      </c>
      <c r="I164" s="309"/>
      <c r="J164" s="157"/>
      <c r="K164" s="163"/>
      <c r="L164" s="57"/>
      <c r="M164" s="60"/>
    </row>
    <row r="165" spans="1:13" ht="20.399999999999999">
      <c r="A165" s="304">
        <v>2</v>
      </c>
      <c r="B165" s="316"/>
      <c r="C165" s="316"/>
      <c r="D165" s="317" t="s">
        <v>272</v>
      </c>
      <c r="E165" s="318"/>
      <c r="F165" s="319"/>
      <c r="G165" s="318"/>
      <c r="H165" s="320"/>
      <c r="I165" s="309"/>
      <c r="J165" s="157"/>
      <c r="K165" s="163"/>
      <c r="L165" s="57"/>
      <c r="M165" s="60"/>
    </row>
    <row r="166" spans="1:13" ht="20.399999999999999">
      <c r="A166" s="214">
        <v>2</v>
      </c>
      <c r="B166" s="310" t="s">
        <v>273</v>
      </c>
      <c r="C166" s="310" t="s">
        <v>273</v>
      </c>
      <c r="D166" s="315" t="s">
        <v>274</v>
      </c>
      <c r="E166" s="312"/>
      <c r="F166" s="210"/>
      <c r="G166" s="321"/>
      <c r="H166" s="322">
        <f>H169+H190+H195</f>
        <v>1098.9000000000001</v>
      </c>
      <c r="I166" s="309"/>
      <c r="J166" s="157"/>
      <c r="K166" s="163"/>
      <c r="L166" s="57"/>
      <c r="M166" s="60"/>
    </row>
    <row r="167" spans="1:13" ht="71.400000000000006">
      <c r="A167" s="214">
        <v>2</v>
      </c>
      <c r="B167" s="215"/>
      <c r="C167" s="215" t="s">
        <v>275</v>
      </c>
      <c r="D167" s="323" t="s">
        <v>276</v>
      </c>
      <c r="E167" s="210">
        <v>32</v>
      </c>
      <c r="F167" s="209" t="s">
        <v>277</v>
      </c>
      <c r="G167" s="324" t="s">
        <v>278</v>
      </c>
      <c r="H167" s="325">
        <f>SUM(H175,H176,H177,H178,H179,H180,H181,H185,H186,H183,H184)</f>
        <v>289.39999999999998</v>
      </c>
      <c r="I167" s="309"/>
      <c r="J167" s="883" t="s">
        <v>279</v>
      </c>
      <c r="K167" s="181" t="s">
        <v>280</v>
      </c>
      <c r="L167" s="45">
        <v>59.5</v>
      </c>
      <c r="M167" s="60"/>
    </row>
    <row r="168" spans="1:13" ht="13.2">
      <c r="A168" s="214">
        <v>2</v>
      </c>
      <c r="B168" s="215"/>
      <c r="C168" s="215" t="s">
        <v>275</v>
      </c>
      <c r="D168" s="209"/>
      <c r="E168" s="210">
        <v>32</v>
      </c>
      <c r="F168" s="209" t="s">
        <v>277</v>
      </c>
      <c r="G168" s="324" t="s">
        <v>19</v>
      </c>
      <c r="H168" s="325">
        <f>SUM(H170:H174,H182)</f>
        <v>268</v>
      </c>
      <c r="I168" s="309" t="s">
        <v>64</v>
      </c>
      <c r="J168" s="157"/>
      <c r="K168" s="163"/>
      <c r="L168" s="57"/>
      <c r="M168" s="60"/>
    </row>
    <row r="169" spans="1:13" ht="13.2">
      <c r="A169" s="214">
        <v>2</v>
      </c>
      <c r="B169" s="215"/>
      <c r="C169" s="224"/>
      <c r="D169" s="209"/>
      <c r="E169" s="210"/>
      <c r="F169" s="209" t="s">
        <v>277</v>
      </c>
      <c r="G169" s="314" t="s">
        <v>257</v>
      </c>
      <c r="H169" s="220">
        <f>H167+H168</f>
        <v>557.4</v>
      </c>
      <c r="I169" s="309"/>
      <c r="J169" s="157"/>
      <c r="K169" s="163"/>
      <c r="L169" s="57"/>
      <c r="M169" s="60"/>
    </row>
    <row r="170" spans="1:13" ht="41.4">
      <c r="A170" s="214">
        <v>2</v>
      </c>
      <c r="B170" s="326"/>
      <c r="C170" s="327" t="s">
        <v>281</v>
      </c>
      <c r="D170" s="332" t="s">
        <v>282</v>
      </c>
      <c r="E170" s="328">
        <v>32</v>
      </c>
      <c r="F170" s="329" t="s">
        <v>283</v>
      </c>
      <c r="G170" s="330" t="s">
        <v>19</v>
      </c>
      <c r="H170" s="331">
        <v>30</v>
      </c>
      <c r="I170" s="309" t="s">
        <v>58</v>
      </c>
      <c r="J170" s="884" t="s">
        <v>284</v>
      </c>
      <c r="K170" s="885" t="s">
        <v>285</v>
      </c>
      <c r="L170" s="886">
        <v>1</v>
      </c>
      <c r="M170" s="60" t="s">
        <v>192</v>
      </c>
    </row>
    <row r="171" spans="1:13" ht="31.2">
      <c r="A171" s="214">
        <v>2</v>
      </c>
      <c r="B171" s="326"/>
      <c r="C171" s="327" t="s">
        <v>286</v>
      </c>
      <c r="D171" s="332" t="s">
        <v>287</v>
      </c>
      <c r="E171" s="328">
        <v>21</v>
      </c>
      <c r="F171" s="329" t="s">
        <v>288</v>
      </c>
      <c r="G171" s="330" t="s">
        <v>19</v>
      </c>
      <c r="H171" s="331">
        <v>18</v>
      </c>
      <c r="I171" s="309" t="s">
        <v>58</v>
      </c>
      <c r="J171" s="856" t="s">
        <v>289</v>
      </c>
      <c r="K171" s="857" t="s">
        <v>290</v>
      </c>
      <c r="L171" s="858">
        <v>1</v>
      </c>
      <c r="M171" s="163" t="s">
        <v>189</v>
      </c>
    </row>
    <row r="172" spans="1:13" ht="31.2">
      <c r="A172" s="304">
        <v>2</v>
      </c>
      <c r="B172" s="333"/>
      <c r="C172" s="336" t="s">
        <v>291</v>
      </c>
      <c r="D172" s="339" t="s">
        <v>292</v>
      </c>
      <c r="E172" s="334">
        <v>32</v>
      </c>
      <c r="F172" s="335" t="s">
        <v>283</v>
      </c>
      <c r="G172" s="337" t="s">
        <v>19</v>
      </c>
      <c r="H172" s="338">
        <v>80</v>
      </c>
      <c r="I172" s="309" t="s">
        <v>198</v>
      </c>
      <c r="J172" s="811" t="s">
        <v>293</v>
      </c>
      <c r="K172" s="887" t="s">
        <v>294</v>
      </c>
      <c r="L172" s="888">
        <v>3</v>
      </c>
      <c r="M172" s="811" t="s">
        <v>185</v>
      </c>
    </row>
    <row r="173" spans="1:13" ht="31.2">
      <c r="A173" s="214">
        <v>2</v>
      </c>
      <c r="B173" s="333"/>
      <c r="C173" s="336" t="s">
        <v>295</v>
      </c>
      <c r="D173" s="339" t="s">
        <v>296</v>
      </c>
      <c r="E173" s="334">
        <v>32</v>
      </c>
      <c r="F173" s="335" t="s">
        <v>283</v>
      </c>
      <c r="G173" s="337" t="s">
        <v>19</v>
      </c>
      <c r="H173" s="338">
        <v>62</v>
      </c>
      <c r="I173" s="309" t="s">
        <v>198</v>
      </c>
      <c r="J173" s="811" t="s">
        <v>293</v>
      </c>
      <c r="K173" s="887" t="s">
        <v>294</v>
      </c>
      <c r="L173" s="888">
        <v>1.8</v>
      </c>
      <c r="M173" s="811" t="s">
        <v>185</v>
      </c>
    </row>
    <row r="174" spans="1:13" ht="13.2">
      <c r="A174" s="214">
        <v>2</v>
      </c>
      <c r="B174" s="333"/>
      <c r="C174" s="340" t="s">
        <v>297</v>
      </c>
      <c r="D174" s="984" t="s">
        <v>298</v>
      </c>
      <c r="E174" s="341">
        <v>32</v>
      </c>
      <c r="F174" s="342" t="s">
        <v>277</v>
      </c>
      <c r="G174" s="337" t="s">
        <v>19</v>
      </c>
      <c r="H174" s="325">
        <v>18</v>
      </c>
      <c r="I174" s="309"/>
      <c r="J174" s="157"/>
      <c r="K174" s="163"/>
      <c r="L174" s="57"/>
      <c r="M174" s="811"/>
    </row>
    <row r="175" spans="1:13" ht="13.2">
      <c r="A175" s="214">
        <v>2</v>
      </c>
      <c r="B175" s="343"/>
      <c r="C175" s="340"/>
      <c r="D175" s="985"/>
      <c r="E175" s="341">
        <v>32</v>
      </c>
      <c r="F175" s="342" t="s">
        <v>277</v>
      </c>
      <c r="G175" s="344" t="s">
        <v>278</v>
      </c>
      <c r="H175" s="345">
        <v>87</v>
      </c>
      <c r="I175" s="346"/>
      <c r="J175" s="889" t="s">
        <v>299</v>
      </c>
      <c r="K175" s="890" t="s">
        <v>300</v>
      </c>
      <c r="L175" s="891">
        <v>50</v>
      </c>
      <c r="M175" s="61"/>
    </row>
    <row r="176" spans="1:13" ht="21">
      <c r="A176" s="304">
        <v>2</v>
      </c>
      <c r="B176" s="347"/>
      <c r="C176" s="348" t="s">
        <v>301</v>
      </c>
      <c r="D176" s="349" t="s">
        <v>302</v>
      </c>
      <c r="E176" s="350">
        <v>32</v>
      </c>
      <c r="F176" s="351" t="s">
        <v>277</v>
      </c>
      <c r="G176" s="352" t="s">
        <v>278</v>
      </c>
      <c r="H176" s="345">
        <v>5</v>
      </c>
      <c r="I176" s="346"/>
      <c r="J176" s="812" t="s">
        <v>284</v>
      </c>
      <c r="K176" s="176" t="s">
        <v>303</v>
      </c>
      <c r="L176" s="892">
        <v>53</v>
      </c>
      <c r="M176" s="58"/>
    </row>
    <row r="177" spans="1:13" ht="20.399999999999999">
      <c r="A177" s="214">
        <v>2</v>
      </c>
      <c r="B177" s="326"/>
      <c r="C177" s="327" t="s">
        <v>304</v>
      </c>
      <c r="D177" s="353" t="s">
        <v>305</v>
      </c>
      <c r="E177" s="328">
        <v>32</v>
      </c>
      <c r="F177" s="329" t="s">
        <v>277</v>
      </c>
      <c r="G177" s="352" t="s">
        <v>278</v>
      </c>
      <c r="H177" s="345">
        <v>62.5</v>
      </c>
      <c r="I177" s="346"/>
      <c r="J177" s="884" t="s">
        <v>299</v>
      </c>
      <c r="K177" s="163" t="s">
        <v>306</v>
      </c>
      <c r="L177" s="886">
        <v>53</v>
      </c>
      <c r="M177" s="60"/>
    </row>
    <row r="178" spans="1:13" ht="40.799999999999997">
      <c r="A178" s="214">
        <v>2</v>
      </c>
      <c r="B178" s="326"/>
      <c r="C178" s="327" t="s">
        <v>307</v>
      </c>
      <c r="D178" s="353" t="s">
        <v>308</v>
      </c>
      <c r="E178" s="328">
        <v>32</v>
      </c>
      <c r="F178" s="329" t="s">
        <v>283</v>
      </c>
      <c r="G178" s="352" t="s">
        <v>278</v>
      </c>
      <c r="H178" s="331">
        <v>18</v>
      </c>
      <c r="I178" s="354"/>
      <c r="J178" s="810" t="s">
        <v>299</v>
      </c>
      <c r="K178" s="893" t="s">
        <v>309</v>
      </c>
      <c r="L178" s="886">
        <v>6</v>
      </c>
      <c r="M178" s="60"/>
    </row>
    <row r="179" spans="1:13" ht="20.399999999999999">
      <c r="A179" s="214">
        <v>2</v>
      </c>
      <c r="B179" s="326"/>
      <c r="C179" s="327" t="s">
        <v>310</v>
      </c>
      <c r="D179" s="353" t="s">
        <v>311</v>
      </c>
      <c r="E179" s="328">
        <v>32</v>
      </c>
      <c r="F179" s="329" t="s">
        <v>283</v>
      </c>
      <c r="G179" s="352" t="s">
        <v>278</v>
      </c>
      <c r="H179" s="331"/>
      <c r="I179" s="354"/>
      <c r="J179" s="884" t="s">
        <v>284</v>
      </c>
      <c r="K179" s="893" t="s">
        <v>312</v>
      </c>
      <c r="L179" s="886"/>
      <c r="M179" s="60" t="s">
        <v>192</v>
      </c>
    </row>
    <row r="180" spans="1:13" ht="40.799999999999997">
      <c r="A180" s="214">
        <v>2</v>
      </c>
      <c r="B180" s="326"/>
      <c r="C180" s="327" t="s">
        <v>313</v>
      </c>
      <c r="D180" s="353" t="s">
        <v>314</v>
      </c>
      <c r="E180" s="328">
        <v>32</v>
      </c>
      <c r="F180" s="329" t="s">
        <v>277</v>
      </c>
      <c r="G180" s="352" t="s">
        <v>278</v>
      </c>
      <c r="H180" s="331">
        <f>11.8+1.6</f>
        <v>13.4</v>
      </c>
      <c r="I180" s="354"/>
      <c r="J180" s="810" t="s">
        <v>299</v>
      </c>
      <c r="K180" s="893" t="s">
        <v>315</v>
      </c>
      <c r="L180" s="894">
        <v>100</v>
      </c>
      <c r="M180" s="810" t="s">
        <v>200</v>
      </c>
    </row>
    <row r="181" spans="1:13" ht="40.799999999999997">
      <c r="A181" s="304">
        <v>2</v>
      </c>
      <c r="B181" s="355"/>
      <c r="C181" s="356" t="s">
        <v>316</v>
      </c>
      <c r="D181" s="986" t="s">
        <v>317</v>
      </c>
      <c r="E181" s="357">
        <v>32</v>
      </c>
      <c r="F181" s="358" t="s">
        <v>283</v>
      </c>
      <c r="G181" s="352" t="s">
        <v>278</v>
      </c>
      <c r="H181" s="345">
        <v>37</v>
      </c>
      <c r="I181" s="354"/>
      <c r="J181" s="893" t="s">
        <v>318</v>
      </c>
      <c r="K181" s="893" t="s">
        <v>319</v>
      </c>
      <c r="L181" s="895">
        <v>6</v>
      </c>
      <c r="M181" s="812" t="s">
        <v>320</v>
      </c>
    </row>
    <row r="182" spans="1:13" ht="13.2">
      <c r="A182" s="214">
        <v>2</v>
      </c>
      <c r="B182" s="355"/>
      <c r="C182" s="359"/>
      <c r="D182" s="987"/>
      <c r="E182" s="357">
        <v>32</v>
      </c>
      <c r="F182" s="358" t="s">
        <v>277</v>
      </c>
      <c r="G182" s="360" t="s">
        <v>19</v>
      </c>
      <c r="H182" s="345">
        <v>60</v>
      </c>
      <c r="I182" s="354"/>
      <c r="J182" s="893" t="s">
        <v>318</v>
      </c>
      <c r="K182" s="893"/>
      <c r="L182" s="895"/>
      <c r="M182" s="812"/>
    </row>
    <row r="183" spans="1:13" ht="13.2">
      <c r="A183" s="214">
        <v>2</v>
      </c>
      <c r="B183" s="355"/>
      <c r="C183" s="359"/>
      <c r="D183" s="988"/>
      <c r="E183" s="355">
        <v>20</v>
      </c>
      <c r="F183" s="358" t="s">
        <v>321</v>
      </c>
      <c r="G183" s="352" t="s">
        <v>278</v>
      </c>
      <c r="H183" s="345"/>
      <c r="I183" s="354"/>
      <c r="J183" s="893"/>
      <c r="K183" s="893"/>
      <c r="L183" s="895"/>
      <c r="M183" s="812" t="s">
        <v>320</v>
      </c>
    </row>
    <row r="184" spans="1:13" ht="31.2">
      <c r="A184" s="214">
        <v>2</v>
      </c>
      <c r="B184" s="355"/>
      <c r="C184" s="359" t="s">
        <v>322</v>
      </c>
      <c r="D184" s="349" t="s">
        <v>323</v>
      </c>
      <c r="E184" s="355">
        <v>32</v>
      </c>
      <c r="F184" s="361" t="s">
        <v>283</v>
      </c>
      <c r="G184" s="352" t="s">
        <v>278</v>
      </c>
      <c r="H184" s="345"/>
      <c r="I184" s="354"/>
      <c r="J184" s="893" t="s">
        <v>299</v>
      </c>
      <c r="K184" s="893"/>
      <c r="L184" s="895"/>
      <c r="M184" s="812"/>
    </row>
    <row r="185" spans="1:13" ht="31.2">
      <c r="A185" s="214">
        <v>2</v>
      </c>
      <c r="B185" s="355"/>
      <c r="C185" s="359" t="s">
        <v>324</v>
      </c>
      <c r="D185" s="349" t="s">
        <v>325</v>
      </c>
      <c r="E185" s="355">
        <v>32</v>
      </c>
      <c r="F185" s="361" t="s">
        <v>283</v>
      </c>
      <c r="G185" s="352" t="s">
        <v>278</v>
      </c>
      <c r="H185" s="345">
        <v>66.5</v>
      </c>
      <c r="I185" s="354"/>
      <c r="J185" s="893" t="s">
        <v>318</v>
      </c>
      <c r="K185" s="893" t="s">
        <v>326</v>
      </c>
      <c r="L185" s="895">
        <v>3.5</v>
      </c>
      <c r="M185" s="812" t="s">
        <v>256</v>
      </c>
    </row>
    <row r="186" spans="1:13" ht="30.6">
      <c r="A186" s="304">
        <v>2</v>
      </c>
      <c r="B186" s="355"/>
      <c r="C186" s="359" t="s">
        <v>327</v>
      </c>
      <c r="D186" s="351" t="s">
        <v>328</v>
      </c>
      <c r="E186" s="355">
        <v>32</v>
      </c>
      <c r="F186" s="361" t="s">
        <v>283</v>
      </c>
      <c r="G186" s="352" t="s">
        <v>278</v>
      </c>
      <c r="H186" s="345"/>
      <c r="I186" s="354"/>
      <c r="J186" s="893" t="s">
        <v>299</v>
      </c>
      <c r="K186" s="893"/>
      <c r="L186" s="895"/>
      <c r="M186" s="812"/>
    </row>
    <row r="187" spans="1:13" ht="30.6">
      <c r="A187" s="214">
        <v>2</v>
      </c>
      <c r="B187" s="347"/>
      <c r="C187" s="347" t="s">
        <v>329</v>
      </c>
      <c r="D187" s="362" t="s">
        <v>330</v>
      </c>
      <c r="E187" s="350">
        <v>32</v>
      </c>
      <c r="F187" s="351" t="s">
        <v>331</v>
      </c>
      <c r="G187" s="363" t="s">
        <v>56</v>
      </c>
      <c r="H187" s="364">
        <v>39</v>
      </c>
      <c r="I187" s="365"/>
      <c r="J187" s="893" t="s">
        <v>284</v>
      </c>
      <c r="K187" s="893" t="s">
        <v>332</v>
      </c>
      <c r="L187" s="895">
        <v>10</v>
      </c>
      <c r="M187" s="58" t="s">
        <v>192</v>
      </c>
    </row>
    <row r="188" spans="1:13" ht="13.2">
      <c r="A188" s="214">
        <v>2</v>
      </c>
      <c r="B188" s="347"/>
      <c r="C188" s="347" t="s">
        <v>329</v>
      </c>
      <c r="D188" s="351"/>
      <c r="E188" s="350">
        <v>32</v>
      </c>
      <c r="F188" s="351" t="s">
        <v>331</v>
      </c>
      <c r="G188" s="363" t="s">
        <v>59</v>
      </c>
      <c r="H188" s="364">
        <v>6.9</v>
      </c>
      <c r="I188" s="365"/>
      <c r="J188" s="893" t="s">
        <v>284</v>
      </c>
      <c r="K188" s="893"/>
      <c r="L188" s="895"/>
      <c r="M188" s="58" t="s">
        <v>192</v>
      </c>
    </row>
    <row r="189" spans="1:13" ht="13.2">
      <c r="A189" s="214">
        <v>2</v>
      </c>
      <c r="B189" s="326"/>
      <c r="C189" s="326" t="s">
        <v>329</v>
      </c>
      <c r="D189" s="329"/>
      <c r="E189" s="328">
        <v>32</v>
      </c>
      <c r="F189" s="329" t="s">
        <v>331</v>
      </c>
      <c r="G189" s="366" t="s">
        <v>19</v>
      </c>
      <c r="H189" s="223">
        <v>64.5</v>
      </c>
      <c r="I189" s="365" t="s">
        <v>58</v>
      </c>
      <c r="J189" s="893" t="s">
        <v>284</v>
      </c>
      <c r="K189" s="893"/>
      <c r="L189" s="895"/>
      <c r="M189" s="58" t="s">
        <v>192</v>
      </c>
    </row>
    <row r="190" spans="1:13" ht="13.2">
      <c r="A190" s="214">
        <v>2</v>
      </c>
      <c r="B190" s="326"/>
      <c r="C190" s="326" t="s">
        <v>329</v>
      </c>
      <c r="D190" s="329"/>
      <c r="E190" s="328">
        <v>32</v>
      </c>
      <c r="F190" s="329" t="s">
        <v>331</v>
      </c>
      <c r="G190" s="367" t="s">
        <v>257</v>
      </c>
      <c r="H190" s="368">
        <f>SUM(H187:H189)</f>
        <v>110.4</v>
      </c>
      <c r="I190" s="365"/>
      <c r="J190" s="894"/>
      <c r="K190" s="893"/>
      <c r="L190" s="895"/>
      <c r="M190" s="60"/>
    </row>
    <row r="191" spans="1:13" ht="20.399999999999999">
      <c r="A191" s="304">
        <v>2</v>
      </c>
      <c r="B191" s="326"/>
      <c r="C191" s="326" t="s">
        <v>333</v>
      </c>
      <c r="D191" s="362" t="s">
        <v>334</v>
      </c>
      <c r="E191" s="328">
        <v>32</v>
      </c>
      <c r="F191" s="329" t="s">
        <v>335</v>
      </c>
      <c r="G191" s="366" t="s">
        <v>56</v>
      </c>
      <c r="H191" s="325">
        <v>238.2</v>
      </c>
      <c r="I191" s="365"/>
      <c r="J191" s="896" t="s">
        <v>284</v>
      </c>
      <c r="K191" s="897" t="s">
        <v>336</v>
      </c>
      <c r="L191" s="895">
        <v>8</v>
      </c>
      <c r="M191" s="812" t="s">
        <v>320</v>
      </c>
    </row>
    <row r="192" spans="1:13" ht="13.2">
      <c r="A192" s="214">
        <v>2</v>
      </c>
      <c r="B192" s="326"/>
      <c r="C192" s="326" t="s">
        <v>333</v>
      </c>
      <c r="D192" s="329"/>
      <c r="E192" s="328">
        <v>32</v>
      </c>
      <c r="F192" s="329" t="s">
        <v>335</v>
      </c>
      <c r="G192" s="366" t="s">
        <v>59</v>
      </c>
      <c r="H192" s="325">
        <v>42.1</v>
      </c>
      <c r="I192" s="365"/>
      <c r="J192" s="894"/>
      <c r="K192" s="893"/>
      <c r="L192" s="895"/>
      <c r="M192" s="812" t="s">
        <v>320</v>
      </c>
    </row>
    <row r="193" spans="1:13" ht="13.2">
      <c r="A193" s="214">
        <v>2</v>
      </c>
      <c r="B193" s="326"/>
      <c r="C193" s="326" t="s">
        <v>333</v>
      </c>
      <c r="D193" s="329"/>
      <c r="E193" s="328">
        <v>32</v>
      </c>
      <c r="F193" s="329" t="s">
        <v>335</v>
      </c>
      <c r="G193" s="366" t="s">
        <v>337</v>
      </c>
      <c r="H193" s="325">
        <v>86.2</v>
      </c>
      <c r="I193" s="365"/>
      <c r="J193" s="894"/>
      <c r="K193" s="893"/>
      <c r="L193" s="895"/>
      <c r="M193" s="812" t="s">
        <v>320</v>
      </c>
    </row>
    <row r="194" spans="1:13" ht="13.2">
      <c r="A194" s="214">
        <v>2</v>
      </c>
      <c r="B194" s="326"/>
      <c r="C194" s="326" t="s">
        <v>333</v>
      </c>
      <c r="D194" s="329"/>
      <c r="E194" s="328">
        <v>32</v>
      </c>
      <c r="F194" s="329" t="s">
        <v>335</v>
      </c>
      <c r="G194" s="366" t="s">
        <v>19</v>
      </c>
      <c r="H194" s="325">
        <v>64.599999999999994</v>
      </c>
      <c r="I194" s="365" t="s">
        <v>58</v>
      </c>
      <c r="J194" s="894"/>
      <c r="K194" s="893"/>
      <c r="L194" s="895"/>
      <c r="M194" s="812" t="s">
        <v>320</v>
      </c>
    </row>
    <row r="195" spans="1:13" ht="13.2">
      <c r="A195" s="214">
        <v>2</v>
      </c>
      <c r="B195" s="326"/>
      <c r="C195" s="326" t="s">
        <v>333</v>
      </c>
      <c r="D195" s="329"/>
      <c r="E195" s="328">
        <v>32</v>
      </c>
      <c r="F195" s="329" t="s">
        <v>335</v>
      </c>
      <c r="G195" s="367" t="s">
        <v>257</v>
      </c>
      <c r="H195" s="368">
        <f>SUM(H191:H194)</f>
        <v>431.1</v>
      </c>
      <c r="I195" s="309"/>
      <c r="J195" s="157"/>
      <c r="K195" s="163"/>
      <c r="L195" s="57"/>
      <c r="M195" s="60"/>
    </row>
    <row r="196" spans="1:13" ht="13.2">
      <c r="A196" s="304">
        <v>2</v>
      </c>
      <c r="B196" s="310" t="s">
        <v>338</v>
      </c>
      <c r="C196" s="310" t="s">
        <v>338</v>
      </c>
      <c r="D196" s="315" t="s">
        <v>339</v>
      </c>
      <c r="E196" s="312"/>
      <c r="F196" s="210"/>
      <c r="G196" s="325"/>
      <c r="H196" s="207">
        <f>H198+H206</f>
        <v>410.8</v>
      </c>
      <c r="I196" s="309"/>
      <c r="J196" s="157"/>
      <c r="K196" s="163"/>
      <c r="L196" s="57"/>
      <c r="M196" s="60"/>
    </row>
    <row r="197" spans="1:13" ht="40.799999999999997">
      <c r="A197" s="214">
        <v>2</v>
      </c>
      <c r="B197" s="215"/>
      <c r="C197" s="215" t="s">
        <v>340</v>
      </c>
      <c r="D197" s="323" t="s">
        <v>341</v>
      </c>
      <c r="E197" s="210">
        <v>32</v>
      </c>
      <c r="F197" s="210" t="s">
        <v>342</v>
      </c>
      <c r="G197" s="325" t="s">
        <v>278</v>
      </c>
      <c r="H197" s="325">
        <f>SUM(H199,H200,H202,H203,H204,H201)</f>
        <v>407.3</v>
      </c>
      <c r="I197" s="309"/>
      <c r="J197" s="898" t="s">
        <v>284</v>
      </c>
      <c r="K197" s="181" t="s">
        <v>343</v>
      </c>
      <c r="L197" s="157">
        <v>100</v>
      </c>
      <c r="M197" s="60" t="s">
        <v>344</v>
      </c>
    </row>
    <row r="198" spans="1:13" ht="13.2">
      <c r="A198" s="214">
        <v>2</v>
      </c>
      <c r="B198" s="215"/>
      <c r="C198" s="215" t="s">
        <v>340</v>
      </c>
      <c r="D198" s="209"/>
      <c r="E198" s="210"/>
      <c r="F198" s="209"/>
      <c r="G198" s="314" t="s">
        <v>257</v>
      </c>
      <c r="H198" s="220">
        <f>H197</f>
        <v>407.3</v>
      </c>
      <c r="I198" s="309"/>
      <c r="J198" s="157"/>
      <c r="K198" s="163"/>
      <c r="L198" s="57"/>
      <c r="M198" s="60"/>
    </row>
    <row r="199" spans="1:13" ht="30.6">
      <c r="A199" s="214">
        <v>2</v>
      </c>
      <c r="B199" s="215"/>
      <c r="C199" s="215" t="s">
        <v>345</v>
      </c>
      <c r="D199" s="209" t="s">
        <v>346</v>
      </c>
      <c r="E199" s="210">
        <v>32</v>
      </c>
      <c r="F199" s="210" t="s">
        <v>342</v>
      </c>
      <c r="G199" s="352" t="s">
        <v>278</v>
      </c>
      <c r="H199" s="331">
        <v>99.8</v>
      </c>
      <c r="I199" s="365"/>
      <c r="J199" s="893" t="s">
        <v>284</v>
      </c>
      <c r="K199" s="893" t="s">
        <v>347</v>
      </c>
      <c r="L199" s="895">
        <v>77</v>
      </c>
      <c r="M199" s="60"/>
    </row>
    <row r="200" spans="1:13" ht="30.6">
      <c r="A200" s="214">
        <v>2</v>
      </c>
      <c r="B200" s="215"/>
      <c r="C200" s="215" t="s">
        <v>348</v>
      </c>
      <c r="D200" s="209" t="s">
        <v>349</v>
      </c>
      <c r="E200" s="210">
        <v>32</v>
      </c>
      <c r="F200" s="210" t="s">
        <v>342</v>
      </c>
      <c r="G200" s="352" t="s">
        <v>278</v>
      </c>
      <c r="H200" s="331">
        <v>180</v>
      </c>
      <c r="I200" s="365"/>
      <c r="J200" s="893" t="s">
        <v>284</v>
      </c>
      <c r="K200" s="893" t="s">
        <v>350</v>
      </c>
      <c r="L200" s="895">
        <v>7</v>
      </c>
      <c r="M200" s="60"/>
    </row>
    <row r="201" spans="1:13" ht="30.6">
      <c r="A201" s="304">
        <v>2</v>
      </c>
      <c r="B201" s="215"/>
      <c r="C201" s="215" t="s">
        <v>351</v>
      </c>
      <c r="D201" s="209" t="s">
        <v>352</v>
      </c>
      <c r="E201" s="210">
        <v>32</v>
      </c>
      <c r="F201" s="210" t="s">
        <v>342</v>
      </c>
      <c r="G201" s="352" t="s">
        <v>278</v>
      </c>
      <c r="H201" s="331">
        <v>25</v>
      </c>
      <c r="I201" s="365"/>
      <c r="J201" s="155"/>
      <c r="K201" s="161"/>
      <c r="L201" s="45"/>
      <c r="M201" s="60"/>
    </row>
    <row r="202" spans="1:13" ht="20.399999999999999">
      <c r="A202" s="214">
        <v>2</v>
      </c>
      <c r="B202" s="215"/>
      <c r="C202" s="215" t="s">
        <v>353</v>
      </c>
      <c r="D202" s="813" t="s">
        <v>354</v>
      </c>
      <c r="E202" s="210">
        <v>32</v>
      </c>
      <c r="F202" s="210" t="s">
        <v>342</v>
      </c>
      <c r="G202" s="352" t="s">
        <v>278</v>
      </c>
      <c r="H202" s="331">
        <v>87</v>
      </c>
      <c r="I202" s="365"/>
      <c r="J202" s="893" t="s">
        <v>284</v>
      </c>
      <c r="K202" s="893" t="s">
        <v>312</v>
      </c>
      <c r="L202" s="895">
        <v>1.5</v>
      </c>
      <c r="M202" s="60" t="s">
        <v>192</v>
      </c>
    </row>
    <row r="203" spans="1:13" ht="20.399999999999999">
      <c r="A203" s="214">
        <v>2</v>
      </c>
      <c r="B203" s="215"/>
      <c r="C203" s="369" t="s">
        <v>355</v>
      </c>
      <c r="D203" s="370" t="s">
        <v>356</v>
      </c>
      <c r="E203" s="234">
        <v>32</v>
      </c>
      <c r="F203" s="210" t="s">
        <v>342</v>
      </c>
      <c r="G203" s="352" t="s">
        <v>278</v>
      </c>
      <c r="H203" s="331">
        <v>1.5</v>
      </c>
      <c r="I203" s="365"/>
      <c r="J203" s="893" t="s">
        <v>284</v>
      </c>
      <c r="K203" s="893" t="s">
        <v>357</v>
      </c>
      <c r="L203" s="895">
        <v>1</v>
      </c>
      <c r="M203" s="60" t="s">
        <v>192</v>
      </c>
    </row>
    <row r="204" spans="1:13" ht="13.2">
      <c r="A204" s="214">
        <v>2</v>
      </c>
      <c r="B204" s="215"/>
      <c r="C204" s="369" t="s">
        <v>358</v>
      </c>
      <c r="D204" s="370" t="s">
        <v>359</v>
      </c>
      <c r="E204" s="234">
        <v>32</v>
      </c>
      <c r="F204" s="210" t="s">
        <v>360</v>
      </c>
      <c r="G204" s="352" t="s">
        <v>278</v>
      </c>
      <c r="H204" s="331">
        <v>14</v>
      </c>
      <c r="I204" s="365"/>
      <c r="J204" s="893"/>
      <c r="K204" s="893"/>
      <c r="L204" s="895"/>
      <c r="M204" s="60" t="s">
        <v>192</v>
      </c>
    </row>
    <row r="205" spans="1:13" ht="40.799999999999997">
      <c r="A205" s="214">
        <v>2</v>
      </c>
      <c r="B205" s="215" t="s">
        <v>338</v>
      </c>
      <c r="C205" s="215" t="s">
        <v>361</v>
      </c>
      <c r="D205" s="371" t="s">
        <v>362</v>
      </c>
      <c r="E205" s="210">
        <v>32</v>
      </c>
      <c r="F205" s="210" t="s">
        <v>363</v>
      </c>
      <c r="G205" s="352" t="s">
        <v>278</v>
      </c>
      <c r="H205" s="223">
        <v>3.5</v>
      </c>
      <c r="I205" s="365"/>
      <c r="J205" s="899" t="s">
        <v>299</v>
      </c>
      <c r="K205" s="897" t="s">
        <v>364</v>
      </c>
      <c r="L205" s="157">
        <v>1</v>
      </c>
      <c r="M205" s="60"/>
    </row>
    <row r="206" spans="1:13" ht="13.2">
      <c r="A206" s="304">
        <v>2</v>
      </c>
      <c r="B206" s="215" t="s">
        <v>338</v>
      </c>
      <c r="C206" s="215" t="s">
        <v>361</v>
      </c>
      <c r="D206" s="209"/>
      <c r="E206" s="210"/>
      <c r="F206" s="210" t="s">
        <v>363</v>
      </c>
      <c r="G206" s="314" t="s">
        <v>257</v>
      </c>
      <c r="H206" s="220">
        <f>H205</f>
        <v>3.5</v>
      </c>
      <c r="I206" s="309"/>
      <c r="J206" s="157"/>
      <c r="K206" s="163"/>
      <c r="L206" s="57"/>
      <c r="M206" s="60"/>
    </row>
    <row r="207" spans="1:13" ht="20.399999999999999">
      <c r="A207" s="214">
        <v>2</v>
      </c>
      <c r="B207" s="316"/>
      <c r="C207" s="316"/>
      <c r="D207" s="317" t="s">
        <v>365</v>
      </c>
      <c r="E207" s="318"/>
      <c r="F207" s="319"/>
      <c r="G207" s="318"/>
      <c r="H207" s="320"/>
      <c r="I207" s="309"/>
      <c r="J207" s="157"/>
      <c r="K207" s="163"/>
      <c r="L207" s="57"/>
      <c r="M207" s="60"/>
    </row>
    <row r="208" spans="1:13" ht="24.6" customHeight="1">
      <c r="A208" s="214">
        <v>2</v>
      </c>
      <c r="B208" s="310" t="s">
        <v>367</v>
      </c>
      <c r="C208" s="310" t="s">
        <v>367</v>
      </c>
      <c r="D208" s="315" t="s">
        <v>368</v>
      </c>
      <c r="E208" s="312"/>
      <c r="F208" s="210"/>
      <c r="G208" s="219"/>
      <c r="H208" s="207"/>
      <c r="I208" s="309"/>
      <c r="J208" s="157"/>
      <c r="K208" s="163"/>
      <c r="L208" s="57"/>
      <c r="M208" s="60"/>
    </row>
    <row r="209" spans="1:13" ht="13.2">
      <c r="A209" s="214">
        <v>2</v>
      </c>
      <c r="B209" s="215"/>
      <c r="C209" s="215" t="s">
        <v>369</v>
      </c>
      <c r="D209" s="978" t="s">
        <v>370</v>
      </c>
      <c r="E209" s="210" t="s">
        <v>62</v>
      </c>
      <c r="F209" s="313" t="s">
        <v>371</v>
      </c>
      <c r="G209" s="214" t="s">
        <v>19</v>
      </c>
      <c r="H209" s="219">
        <f>222+68-200</f>
        <v>90</v>
      </c>
      <c r="I209" s="309" t="s">
        <v>198</v>
      </c>
      <c r="J209" s="181" t="s">
        <v>65</v>
      </c>
      <c r="K209" s="900" t="s">
        <v>372</v>
      </c>
      <c r="L209" s="45">
        <v>100</v>
      </c>
      <c r="M209" s="60" t="s">
        <v>373</v>
      </c>
    </row>
    <row r="210" spans="1:13" ht="13.2">
      <c r="A210" s="214">
        <v>2</v>
      </c>
      <c r="B210" s="215"/>
      <c r="C210" s="215"/>
      <c r="D210" s="980"/>
      <c r="E210" s="210" t="s">
        <v>62</v>
      </c>
      <c r="F210" s="313" t="s">
        <v>371</v>
      </c>
      <c r="G210" s="214" t="s">
        <v>178</v>
      </c>
      <c r="H210" s="219">
        <v>200</v>
      </c>
      <c r="I210" s="309"/>
      <c r="J210" s="157"/>
      <c r="K210" s="163"/>
      <c r="L210" s="57"/>
      <c r="M210" s="60"/>
    </row>
    <row r="211" spans="1:13" ht="13.2">
      <c r="A211" s="304">
        <v>2</v>
      </c>
      <c r="B211" s="215"/>
      <c r="C211" s="215"/>
      <c r="D211" s="225"/>
      <c r="E211" s="210"/>
      <c r="F211" s="313"/>
      <c r="G211" s="314" t="s">
        <v>257</v>
      </c>
      <c r="H211" s="220">
        <f>SUM(H209,H210)</f>
        <v>290</v>
      </c>
      <c r="I211" s="309"/>
      <c r="J211" s="157"/>
      <c r="K211" s="163"/>
      <c r="L211" s="57"/>
      <c r="M211" s="60"/>
    </row>
    <row r="212" spans="1:13" ht="20.399999999999999">
      <c r="A212" s="214">
        <v>2</v>
      </c>
      <c r="B212" s="215"/>
      <c r="C212" s="215" t="s">
        <v>374</v>
      </c>
      <c r="D212" s="323" t="s">
        <v>375</v>
      </c>
      <c r="E212" s="210" t="s">
        <v>376</v>
      </c>
      <c r="F212" s="313" t="s">
        <v>377</v>
      </c>
      <c r="G212" s="214" t="s">
        <v>19</v>
      </c>
      <c r="H212" s="219">
        <v>34.9</v>
      </c>
      <c r="I212" s="309" t="s">
        <v>64</v>
      </c>
      <c r="J212" s="181" t="s">
        <v>378</v>
      </c>
      <c r="K212" s="900" t="s">
        <v>379</v>
      </c>
      <c r="L212" s="45">
        <v>100</v>
      </c>
      <c r="M212" s="60"/>
    </row>
    <row r="213" spans="1:13" ht="13.2">
      <c r="A213" s="214">
        <v>2</v>
      </c>
      <c r="B213" s="215"/>
      <c r="C213" s="215"/>
      <c r="D213" s="225"/>
      <c r="E213" s="210"/>
      <c r="F213" s="313"/>
      <c r="G213" s="314" t="s">
        <v>257</v>
      </c>
      <c r="H213" s="220">
        <f>SUM(H212)</f>
        <v>34.9</v>
      </c>
      <c r="I213" s="309"/>
      <c r="J213" s="157"/>
      <c r="K213" s="163"/>
      <c r="L213" s="57"/>
      <c r="M213" s="60"/>
    </row>
    <row r="214" spans="1:13" ht="13.2">
      <c r="A214" s="304">
        <v>2</v>
      </c>
      <c r="B214" s="215"/>
      <c r="C214" s="215" t="s">
        <v>380</v>
      </c>
      <c r="D214" s="978" t="s">
        <v>381</v>
      </c>
      <c r="E214" s="210" t="s">
        <v>382</v>
      </c>
      <c r="F214" s="209" t="s">
        <v>383</v>
      </c>
      <c r="G214" s="214" t="s">
        <v>19</v>
      </c>
      <c r="H214" s="219"/>
      <c r="I214" s="309" t="s">
        <v>58</v>
      </c>
      <c r="J214" s="157"/>
      <c r="K214" s="163"/>
      <c r="L214" s="57"/>
      <c r="M214" s="60" t="s">
        <v>222</v>
      </c>
    </row>
    <row r="215" spans="1:13" ht="20.399999999999999">
      <c r="A215" s="214">
        <v>2</v>
      </c>
      <c r="B215" s="215"/>
      <c r="C215" s="215" t="s">
        <v>380</v>
      </c>
      <c r="D215" s="979"/>
      <c r="E215" s="210">
        <v>10</v>
      </c>
      <c r="F215" s="209" t="s">
        <v>383</v>
      </c>
      <c r="G215" s="214" t="s">
        <v>19</v>
      </c>
      <c r="H215" s="219">
        <v>5</v>
      </c>
      <c r="I215" s="309" t="s">
        <v>58</v>
      </c>
      <c r="J215" s="163" t="s">
        <v>384</v>
      </c>
      <c r="K215" s="787" t="s">
        <v>385</v>
      </c>
      <c r="L215" s="45">
        <v>1</v>
      </c>
      <c r="M215" s="60" t="s">
        <v>222</v>
      </c>
    </row>
    <row r="216" spans="1:13" ht="13.2">
      <c r="A216" s="214">
        <v>2</v>
      </c>
      <c r="B216" s="215"/>
      <c r="C216" s="215" t="s">
        <v>380</v>
      </c>
      <c r="D216" s="979"/>
      <c r="E216" s="210">
        <v>19</v>
      </c>
      <c r="F216" s="209" t="s">
        <v>383</v>
      </c>
      <c r="G216" s="210" t="s">
        <v>56</v>
      </c>
      <c r="H216" s="219">
        <v>48.5</v>
      </c>
      <c r="I216" s="309" t="s">
        <v>58</v>
      </c>
      <c r="J216" s="181" t="s">
        <v>386</v>
      </c>
      <c r="K216" s="787" t="s">
        <v>387</v>
      </c>
      <c r="L216" s="45">
        <v>100</v>
      </c>
      <c r="M216" s="60" t="s">
        <v>222</v>
      </c>
    </row>
    <row r="217" spans="1:13" ht="13.2">
      <c r="A217" s="214">
        <v>2</v>
      </c>
      <c r="B217" s="215"/>
      <c r="C217" s="215" t="s">
        <v>380</v>
      </c>
      <c r="D217" s="980"/>
      <c r="E217" s="210">
        <v>19</v>
      </c>
      <c r="F217" s="209" t="s">
        <v>383</v>
      </c>
      <c r="G217" s="214" t="s">
        <v>59</v>
      </c>
      <c r="H217" s="219"/>
      <c r="I217" s="309"/>
      <c r="J217" s="157"/>
      <c r="K217" s="163"/>
      <c r="L217" s="57"/>
      <c r="M217" s="60"/>
    </row>
    <row r="218" spans="1:13" ht="13.2">
      <c r="A218" s="214">
        <v>2</v>
      </c>
      <c r="B218" s="215"/>
      <c r="C218" s="215"/>
      <c r="D218" s="373"/>
      <c r="E218" s="210"/>
      <c r="F218" s="209"/>
      <c r="G218" s="314" t="s">
        <v>257</v>
      </c>
      <c r="H218" s="220">
        <f>SUM(H214:H217)</f>
        <v>53.5</v>
      </c>
      <c r="I218" s="309"/>
      <c r="J218" s="157"/>
      <c r="K218" s="163"/>
      <c r="L218" s="57"/>
      <c r="M218" s="60"/>
    </row>
    <row r="219" spans="1:13" ht="13.2">
      <c r="A219" s="304">
        <v>2</v>
      </c>
      <c r="B219" s="215"/>
      <c r="C219" s="215" t="s">
        <v>388</v>
      </c>
      <c r="D219" s="978" t="s">
        <v>389</v>
      </c>
      <c r="E219" s="210" t="s">
        <v>62</v>
      </c>
      <c r="F219" s="209" t="s">
        <v>390</v>
      </c>
      <c r="G219" s="214" t="s">
        <v>177</v>
      </c>
      <c r="H219" s="219">
        <v>395.7</v>
      </c>
      <c r="I219" s="309" t="s">
        <v>182</v>
      </c>
      <c r="J219" s="181" t="s">
        <v>391</v>
      </c>
      <c r="K219" s="787" t="s">
        <v>392</v>
      </c>
      <c r="L219" s="45">
        <v>90</v>
      </c>
      <c r="M219" s="60" t="s">
        <v>192</v>
      </c>
    </row>
    <row r="220" spans="1:13" ht="13.2">
      <c r="A220" s="214">
        <v>2</v>
      </c>
      <c r="B220" s="215"/>
      <c r="C220" s="215" t="s">
        <v>388</v>
      </c>
      <c r="D220" s="979"/>
      <c r="E220" s="210" t="s">
        <v>62</v>
      </c>
      <c r="F220" s="209" t="s">
        <v>390</v>
      </c>
      <c r="G220" s="214" t="s">
        <v>56</v>
      </c>
      <c r="H220" s="219">
        <v>672.1</v>
      </c>
      <c r="I220" s="309" t="s">
        <v>182</v>
      </c>
      <c r="J220" s="157"/>
      <c r="K220" s="163"/>
      <c r="L220" s="57"/>
      <c r="M220" s="60" t="s">
        <v>192</v>
      </c>
    </row>
    <row r="221" spans="1:13" ht="13.2">
      <c r="A221" s="214">
        <v>2</v>
      </c>
      <c r="B221" s="215"/>
      <c r="C221" s="215" t="s">
        <v>388</v>
      </c>
      <c r="D221" s="980"/>
      <c r="E221" s="210" t="s">
        <v>62</v>
      </c>
      <c r="F221" s="209" t="s">
        <v>390</v>
      </c>
      <c r="G221" s="214" t="s">
        <v>19</v>
      </c>
      <c r="H221" s="223"/>
      <c r="I221" s="309" t="s">
        <v>182</v>
      </c>
      <c r="J221" s="157"/>
      <c r="K221" s="163"/>
      <c r="L221" s="57"/>
      <c r="M221" s="60" t="s">
        <v>192</v>
      </c>
    </row>
    <row r="222" spans="1:13" ht="13.2">
      <c r="A222" s="214">
        <v>2</v>
      </c>
      <c r="B222" s="215"/>
      <c r="C222" s="215"/>
      <c r="D222" s="304"/>
      <c r="E222" s="210"/>
      <c r="F222" s="209"/>
      <c r="G222" s="314" t="s">
        <v>257</v>
      </c>
      <c r="H222" s="220">
        <f>SUM(H219:H221)</f>
        <v>1067.8</v>
      </c>
      <c r="I222" s="309" t="s">
        <v>182</v>
      </c>
      <c r="J222" s="157"/>
      <c r="K222" s="163"/>
      <c r="L222" s="57"/>
      <c r="M222" s="60"/>
    </row>
    <row r="223" spans="1:13" ht="20.399999999999999">
      <c r="A223" s="214">
        <v>2</v>
      </c>
      <c r="B223" s="379"/>
      <c r="C223" s="379" t="s">
        <v>393</v>
      </c>
      <c r="D223" s="371" t="s">
        <v>394</v>
      </c>
      <c r="E223" s="380"/>
      <c r="F223" s="381"/>
      <c r="G223" s="214"/>
      <c r="H223" s="219"/>
      <c r="I223" s="309"/>
      <c r="J223" s="157"/>
      <c r="K223" s="163"/>
      <c r="L223" s="57"/>
      <c r="M223" s="60"/>
    </row>
    <row r="224" spans="1:13" ht="19.2" customHeight="1">
      <c r="A224" s="214">
        <v>2</v>
      </c>
      <c r="B224" s="215"/>
      <c r="C224" s="215"/>
      <c r="D224" s="382" t="s">
        <v>395</v>
      </c>
      <c r="E224" s="328">
        <v>2</v>
      </c>
      <c r="F224" s="313" t="s">
        <v>396</v>
      </c>
      <c r="G224" s="383" t="s">
        <v>19</v>
      </c>
      <c r="H224" s="219">
        <v>31</v>
      </c>
      <c r="I224" s="309" t="s">
        <v>58</v>
      </c>
      <c r="J224" s="181" t="s">
        <v>397</v>
      </c>
      <c r="K224" s="787" t="s">
        <v>2101</v>
      </c>
      <c r="L224" s="155" t="s">
        <v>2102</v>
      </c>
      <c r="M224" s="60" t="s">
        <v>189</v>
      </c>
    </row>
    <row r="225" spans="1:13" ht="13.2">
      <c r="A225" s="304">
        <v>2</v>
      </c>
      <c r="B225" s="215"/>
      <c r="C225" s="215"/>
      <c r="D225" s="382" t="s">
        <v>398</v>
      </c>
      <c r="E225" s="328">
        <v>9</v>
      </c>
      <c r="F225" s="313" t="s">
        <v>396</v>
      </c>
      <c r="G225" s="234" t="s">
        <v>19</v>
      </c>
      <c r="H225" s="219">
        <v>112</v>
      </c>
      <c r="I225" s="309" t="s">
        <v>198</v>
      </c>
      <c r="J225" s="181" t="s">
        <v>399</v>
      </c>
      <c r="K225" s="787" t="s">
        <v>400</v>
      </c>
      <c r="L225" s="45">
        <v>1</v>
      </c>
      <c r="M225" s="60" t="s">
        <v>189</v>
      </c>
    </row>
    <row r="226" spans="1:13" ht="13.2">
      <c r="A226" s="214">
        <v>2</v>
      </c>
      <c r="B226" s="215"/>
      <c r="C226" s="215"/>
      <c r="D226" s="814"/>
      <c r="E226" s="210"/>
      <c r="F226" s="313"/>
      <c r="G226" s="314" t="s">
        <v>257</v>
      </c>
      <c r="H226" s="220">
        <f>SUM(H223:H225)</f>
        <v>143</v>
      </c>
      <c r="I226" s="384"/>
      <c r="J226" s="901"/>
      <c r="K226" s="902"/>
      <c r="L226" s="901"/>
      <c r="M226" s="60"/>
    </row>
    <row r="227" spans="1:13" ht="20.399999999999999">
      <c r="A227" s="214">
        <v>2</v>
      </c>
      <c r="B227" s="215"/>
      <c r="C227" s="215" t="s">
        <v>401</v>
      </c>
      <c r="D227" s="978" t="s">
        <v>402</v>
      </c>
      <c r="E227" s="210">
        <v>10</v>
      </c>
      <c r="F227" s="313" t="s">
        <v>403</v>
      </c>
      <c r="G227" s="304" t="s">
        <v>19</v>
      </c>
      <c r="H227" s="219">
        <f>183+200+180-500</f>
        <v>63</v>
      </c>
      <c r="I227" s="309" t="s">
        <v>182</v>
      </c>
      <c r="J227" s="163" t="s">
        <v>384</v>
      </c>
      <c r="K227" s="787" t="s">
        <v>404</v>
      </c>
      <c r="L227" s="45">
        <v>50</v>
      </c>
      <c r="M227" s="60" t="s">
        <v>192</v>
      </c>
    </row>
    <row r="228" spans="1:13" ht="30.6">
      <c r="A228" s="304">
        <v>2</v>
      </c>
      <c r="B228" s="215"/>
      <c r="C228" s="215"/>
      <c r="D228" s="980"/>
      <c r="E228" s="210">
        <v>10</v>
      </c>
      <c r="F228" s="313" t="s">
        <v>403</v>
      </c>
      <c r="G228" s="210" t="s">
        <v>56</v>
      </c>
      <c r="H228" s="219">
        <v>200</v>
      </c>
      <c r="I228" s="309" t="s">
        <v>182</v>
      </c>
      <c r="J228" s="163" t="s">
        <v>384</v>
      </c>
      <c r="K228" s="787" t="s">
        <v>405</v>
      </c>
      <c r="L228" s="155" t="s">
        <v>406</v>
      </c>
      <c r="M228" s="60" t="s">
        <v>192</v>
      </c>
    </row>
    <row r="229" spans="1:13" ht="13.2">
      <c r="A229" s="214">
        <v>2</v>
      </c>
      <c r="B229" s="215"/>
      <c r="C229" s="215"/>
      <c r="D229" s="815"/>
      <c r="E229" s="210"/>
      <c r="F229" s="313"/>
      <c r="G229" s="314" t="s">
        <v>257</v>
      </c>
      <c r="H229" s="220">
        <f>SUM(H227:H228)</f>
        <v>263</v>
      </c>
      <c r="I229" s="309"/>
      <c r="J229" s="157"/>
      <c r="K229" s="163"/>
      <c r="L229" s="57"/>
      <c r="M229" s="60"/>
    </row>
    <row r="230" spans="1:13" ht="20.399999999999999">
      <c r="A230" s="214">
        <v>2</v>
      </c>
      <c r="B230" s="215"/>
      <c r="C230" s="215" t="s">
        <v>408</v>
      </c>
      <c r="D230" s="323" t="s">
        <v>409</v>
      </c>
      <c r="E230" s="210">
        <v>26</v>
      </c>
      <c r="F230" s="313" t="s">
        <v>410</v>
      </c>
      <c r="G230" s="214" t="s">
        <v>19</v>
      </c>
      <c r="H230" s="219"/>
      <c r="I230" s="309" t="s">
        <v>58</v>
      </c>
      <c r="J230" s="157"/>
      <c r="K230" s="163"/>
      <c r="L230" s="57"/>
      <c r="M230" s="60" t="s">
        <v>192</v>
      </c>
    </row>
    <row r="231" spans="1:13" ht="13.2">
      <c r="A231" s="304">
        <v>2</v>
      </c>
      <c r="B231" s="215"/>
      <c r="C231" s="215"/>
      <c r="D231" s="816"/>
      <c r="E231" s="210">
        <v>26</v>
      </c>
      <c r="F231" s="313" t="s">
        <v>410</v>
      </c>
      <c r="G231" s="210" t="s">
        <v>56</v>
      </c>
      <c r="H231" s="219">
        <v>28.5</v>
      </c>
      <c r="I231" s="309"/>
      <c r="J231" s="163" t="s">
        <v>411</v>
      </c>
      <c r="K231" s="787" t="s">
        <v>387</v>
      </c>
      <c r="L231" s="45">
        <v>100</v>
      </c>
      <c r="M231" s="60" t="s">
        <v>192</v>
      </c>
    </row>
    <row r="232" spans="1:13" ht="13.2">
      <c r="A232" s="214">
        <v>2</v>
      </c>
      <c r="B232" s="215"/>
      <c r="C232" s="215"/>
      <c r="D232" s="816"/>
      <c r="E232" s="210"/>
      <c r="F232" s="313"/>
      <c r="G232" s="314" t="s">
        <v>257</v>
      </c>
      <c r="H232" s="220">
        <f>SUM(H230:H231)</f>
        <v>28.5</v>
      </c>
      <c r="I232" s="309"/>
      <c r="J232" s="157"/>
      <c r="K232" s="163"/>
      <c r="L232" s="57"/>
      <c r="M232" s="60"/>
    </row>
    <row r="233" spans="1:13" ht="20.399999999999999">
      <c r="A233" s="214">
        <v>2</v>
      </c>
      <c r="B233" s="215"/>
      <c r="C233" s="215" t="s">
        <v>412</v>
      </c>
      <c r="D233" s="323" t="s">
        <v>413</v>
      </c>
      <c r="E233" s="210">
        <v>10</v>
      </c>
      <c r="F233" s="313" t="s">
        <v>414</v>
      </c>
      <c r="G233" s="210" t="s">
        <v>415</v>
      </c>
      <c r="H233" s="219">
        <v>20</v>
      </c>
      <c r="I233" s="309" t="s">
        <v>198</v>
      </c>
      <c r="J233" s="163" t="s">
        <v>416</v>
      </c>
      <c r="K233" s="163" t="s">
        <v>417</v>
      </c>
      <c r="L233" s="57">
        <v>1</v>
      </c>
      <c r="M233" s="60" t="s">
        <v>418</v>
      </c>
    </row>
    <row r="234" spans="1:13" ht="13.2">
      <c r="A234" s="304">
        <v>2</v>
      </c>
      <c r="B234" s="215"/>
      <c r="C234" s="215"/>
      <c r="D234" s="225"/>
      <c r="E234" s="210"/>
      <c r="F234" s="313"/>
      <c r="G234" s="314" t="s">
        <v>257</v>
      </c>
      <c r="H234" s="220">
        <f>SUM(H233)</f>
        <v>20</v>
      </c>
      <c r="I234" s="309"/>
      <c r="J234" s="157"/>
      <c r="K234" s="163"/>
      <c r="L234" s="57"/>
      <c r="M234" s="60"/>
    </row>
    <row r="235" spans="1:13" ht="30.6">
      <c r="A235" s="214">
        <v>2</v>
      </c>
      <c r="B235" s="316"/>
      <c r="C235" s="316"/>
      <c r="D235" s="317" t="s">
        <v>419</v>
      </c>
      <c r="E235" s="318"/>
      <c r="F235" s="319"/>
      <c r="G235" s="318"/>
      <c r="H235" s="320"/>
      <c r="I235" s="309"/>
      <c r="J235" s="157"/>
      <c r="K235" s="163"/>
      <c r="L235" s="57"/>
      <c r="M235" s="60"/>
    </row>
    <row r="236" spans="1:13" ht="30.6">
      <c r="A236" s="214">
        <v>2</v>
      </c>
      <c r="B236" s="310" t="s">
        <v>420</v>
      </c>
      <c r="C236" s="310" t="s">
        <v>420</v>
      </c>
      <c r="D236" s="315" t="s">
        <v>421</v>
      </c>
      <c r="E236" s="312"/>
      <c r="F236" s="210"/>
      <c r="G236" s="385"/>
      <c r="H236" s="322">
        <f>H238+H240</f>
        <v>30</v>
      </c>
      <c r="I236" s="309"/>
      <c r="J236" s="157"/>
      <c r="K236" s="163"/>
      <c r="L236" s="57"/>
      <c r="M236" s="60"/>
    </row>
    <row r="237" spans="1:13" ht="29.25" customHeight="1">
      <c r="A237" s="214">
        <v>2</v>
      </c>
      <c r="B237" s="386"/>
      <c r="C237" s="386" t="s">
        <v>422</v>
      </c>
      <c r="D237" s="387" t="s">
        <v>423</v>
      </c>
      <c r="E237" s="210">
        <v>2</v>
      </c>
      <c r="F237" s="313" t="s">
        <v>424</v>
      </c>
      <c r="G237" s="214" t="s">
        <v>19</v>
      </c>
      <c r="H237" s="219">
        <v>15</v>
      </c>
      <c r="I237" s="313" t="s">
        <v>58</v>
      </c>
      <c r="J237" s="163" t="s">
        <v>425</v>
      </c>
      <c r="K237" s="163" t="s">
        <v>426</v>
      </c>
      <c r="L237" s="57">
        <v>1</v>
      </c>
      <c r="M237" s="60" t="s">
        <v>67</v>
      </c>
    </row>
    <row r="238" spans="1:13" ht="13.2">
      <c r="A238" s="214">
        <v>2</v>
      </c>
      <c r="B238" s="215"/>
      <c r="C238" s="386" t="s">
        <v>422</v>
      </c>
      <c r="D238" s="209"/>
      <c r="E238" s="210">
        <v>2</v>
      </c>
      <c r="F238" s="313" t="s">
        <v>424</v>
      </c>
      <c r="G238" s="314" t="s">
        <v>257</v>
      </c>
      <c r="H238" s="220">
        <f>SUM(H237:H237)</f>
        <v>15</v>
      </c>
      <c r="I238" s="309"/>
      <c r="J238" s="157"/>
      <c r="K238" s="163"/>
      <c r="L238" s="57"/>
      <c r="M238" s="60"/>
    </row>
    <row r="239" spans="1:13" ht="13.2">
      <c r="A239" s="304">
        <v>2</v>
      </c>
      <c r="B239" s="215"/>
      <c r="C239" s="215" t="s">
        <v>427</v>
      </c>
      <c r="D239" s="209" t="s">
        <v>428</v>
      </c>
      <c r="E239" s="210">
        <v>38</v>
      </c>
      <c r="F239" s="210" t="s">
        <v>429</v>
      </c>
      <c r="G239" s="214" t="s">
        <v>19</v>
      </c>
      <c r="H239" s="219">
        <v>15</v>
      </c>
      <c r="I239" s="309" t="s">
        <v>64</v>
      </c>
      <c r="J239" s="880" t="s">
        <v>430</v>
      </c>
      <c r="K239" s="881" t="s">
        <v>431</v>
      </c>
      <c r="L239" s="57">
        <v>8</v>
      </c>
      <c r="M239" s="60"/>
    </row>
    <row r="240" spans="1:13" ht="13.2">
      <c r="A240" s="214">
        <v>2</v>
      </c>
      <c r="B240" s="215"/>
      <c r="C240" s="215" t="s">
        <v>427</v>
      </c>
      <c r="D240" s="209"/>
      <c r="E240" s="210">
        <v>38</v>
      </c>
      <c r="F240" s="210" t="s">
        <v>429</v>
      </c>
      <c r="G240" s="314" t="s">
        <v>257</v>
      </c>
      <c r="H240" s="220">
        <f>SUM(H239)</f>
        <v>15</v>
      </c>
      <c r="I240" s="309"/>
      <c r="J240" s="157"/>
      <c r="K240" s="163"/>
      <c r="L240" s="57"/>
      <c r="M240" s="60"/>
    </row>
    <row r="241" spans="1:13" ht="30.6">
      <c r="A241" s="214">
        <v>2</v>
      </c>
      <c r="B241" s="310" t="s">
        <v>432</v>
      </c>
      <c r="C241" s="310" t="s">
        <v>432</v>
      </c>
      <c r="D241" s="315" t="s">
        <v>433</v>
      </c>
      <c r="E241" s="312"/>
      <c r="F241" s="210"/>
      <c r="G241" s="385"/>
      <c r="H241" s="322"/>
      <c r="I241" s="309"/>
      <c r="J241" s="157"/>
      <c r="K241" s="163"/>
      <c r="L241" s="57"/>
      <c r="M241" s="60"/>
    </row>
    <row r="242" spans="1:13" ht="13.2">
      <c r="A242" s="214">
        <v>2</v>
      </c>
      <c r="B242" s="215"/>
      <c r="C242" s="215" t="s">
        <v>434</v>
      </c>
      <c r="D242" s="323" t="s">
        <v>435</v>
      </c>
      <c r="E242" s="210">
        <v>2</v>
      </c>
      <c r="F242" s="209" t="s">
        <v>436</v>
      </c>
      <c r="G242" s="388" t="s">
        <v>19</v>
      </c>
      <c r="H242" s="388">
        <f>SUM(H245,H246,H247,H248,H249)</f>
        <v>245</v>
      </c>
      <c r="I242" s="313"/>
      <c r="J242" s="157"/>
      <c r="K242" s="163"/>
      <c r="L242" s="57"/>
      <c r="M242" s="60"/>
    </row>
    <row r="243" spans="1:13" ht="13.2">
      <c r="A243" s="214">
        <v>2</v>
      </c>
      <c r="B243" s="215"/>
      <c r="C243" s="215"/>
      <c r="D243" s="225"/>
      <c r="E243" s="210">
        <v>2</v>
      </c>
      <c r="F243" s="209" t="s">
        <v>436</v>
      </c>
      <c r="G243" s="388" t="s">
        <v>437</v>
      </c>
      <c r="H243" s="388"/>
      <c r="I243" s="313"/>
      <c r="J243" s="157"/>
      <c r="K243" s="163"/>
      <c r="L243" s="57"/>
      <c r="M243" s="60"/>
    </row>
    <row r="244" spans="1:13" ht="13.2">
      <c r="A244" s="304">
        <v>2</v>
      </c>
      <c r="B244" s="215"/>
      <c r="C244" s="215"/>
      <c r="D244" s="209"/>
      <c r="E244" s="210"/>
      <c r="F244" s="209" t="s">
        <v>436</v>
      </c>
      <c r="G244" s="314" t="s">
        <v>257</v>
      </c>
      <c r="H244" s="220">
        <f>SUM(H242:H243)</f>
        <v>245</v>
      </c>
      <c r="I244" s="313"/>
      <c r="J244" s="157"/>
      <c r="K244" s="163"/>
      <c r="L244" s="57"/>
      <c r="M244" s="60"/>
    </row>
    <row r="245" spans="1:13" ht="20.399999999999999">
      <c r="A245" s="214">
        <v>2</v>
      </c>
      <c r="B245" s="215"/>
      <c r="C245" s="215" t="s">
        <v>438</v>
      </c>
      <c r="D245" s="389" t="s">
        <v>439</v>
      </c>
      <c r="E245" s="210">
        <v>2</v>
      </c>
      <c r="F245" s="209" t="s">
        <v>436</v>
      </c>
      <c r="G245" s="390" t="s">
        <v>19</v>
      </c>
      <c r="H245" s="391">
        <v>15</v>
      </c>
      <c r="I245" s="313" t="s">
        <v>58</v>
      </c>
      <c r="J245" s="163" t="s">
        <v>440</v>
      </c>
      <c r="K245" s="181" t="s">
        <v>441</v>
      </c>
      <c r="L245" s="57">
        <v>1</v>
      </c>
      <c r="M245" s="60"/>
    </row>
    <row r="246" spans="1:13" ht="20.399999999999999">
      <c r="A246" s="214">
        <v>2</v>
      </c>
      <c r="B246" s="215"/>
      <c r="C246" s="215" t="s">
        <v>442</v>
      </c>
      <c r="D246" s="392" t="s">
        <v>443</v>
      </c>
      <c r="E246" s="210">
        <v>2</v>
      </c>
      <c r="F246" s="209" t="s">
        <v>436</v>
      </c>
      <c r="G246" s="390" t="s">
        <v>19</v>
      </c>
      <c r="H246" s="391">
        <v>97</v>
      </c>
      <c r="I246" s="313" t="s">
        <v>182</v>
      </c>
      <c r="J246" s="51" t="s">
        <v>444</v>
      </c>
      <c r="K246" s="181" t="s">
        <v>445</v>
      </c>
      <c r="L246" s="57">
        <v>70</v>
      </c>
      <c r="M246" s="60" t="s">
        <v>192</v>
      </c>
    </row>
    <row r="247" spans="1:13" ht="20.399999999999999">
      <c r="A247" s="214">
        <v>2</v>
      </c>
      <c r="B247" s="215"/>
      <c r="C247" s="215" t="s">
        <v>446</v>
      </c>
      <c r="D247" s="392" t="s">
        <v>447</v>
      </c>
      <c r="E247" s="210">
        <v>2</v>
      </c>
      <c r="F247" s="209" t="s">
        <v>436</v>
      </c>
      <c r="G247" s="390" t="s">
        <v>19</v>
      </c>
      <c r="H247" s="391">
        <f>100-60</f>
        <v>40</v>
      </c>
      <c r="I247" s="313" t="s">
        <v>198</v>
      </c>
      <c r="J247" s="51" t="s">
        <v>444</v>
      </c>
      <c r="K247" s="181" t="s">
        <v>445</v>
      </c>
      <c r="L247" s="57">
        <v>50</v>
      </c>
      <c r="M247" s="60" t="s">
        <v>185</v>
      </c>
    </row>
    <row r="248" spans="1:13" ht="20.399999999999999">
      <c r="A248" s="304">
        <v>2</v>
      </c>
      <c r="B248" s="215"/>
      <c r="C248" s="215" t="s">
        <v>448</v>
      </c>
      <c r="D248" s="389" t="s">
        <v>449</v>
      </c>
      <c r="E248" s="210">
        <v>2</v>
      </c>
      <c r="F248" s="209" t="s">
        <v>436</v>
      </c>
      <c r="G248" s="390" t="s">
        <v>19</v>
      </c>
      <c r="H248" s="391">
        <f>50</f>
        <v>50</v>
      </c>
      <c r="I248" s="313" t="s">
        <v>58</v>
      </c>
      <c r="J248" s="51" t="s">
        <v>440</v>
      </c>
      <c r="K248" s="181" t="s">
        <v>445</v>
      </c>
      <c r="L248" s="57"/>
      <c r="M248" s="60" t="s">
        <v>189</v>
      </c>
    </row>
    <row r="249" spans="1:13" ht="20.399999999999999">
      <c r="A249" s="214">
        <v>2</v>
      </c>
      <c r="B249" s="393"/>
      <c r="C249" s="393" t="s">
        <v>450</v>
      </c>
      <c r="D249" s="394" t="s">
        <v>451</v>
      </c>
      <c r="E249" s="395">
        <v>2</v>
      </c>
      <c r="F249" s="396" t="s">
        <v>436</v>
      </c>
      <c r="G249" s="397" t="s">
        <v>19</v>
      </c>
      <c r="H249" s="398">
        <f>93-50</f>
        <v>43</v>
      </c>
      <c r="I249" s="313" t="s">
        <v>58</v>
      </c>
      <c r="J249" s="51" t="s">
        <v>440</v>
      </c>
      <c r="K249" s="181" t="s">
        <v>445</v>
      </c>
      <c r="L249" s="57"/>
      <c r="M249" s="60" t="s">
        <v>67</v>
      </c>
    </row>
    <row r="250" spans="1:13" ht="20.399999999999999">
      <c r="A250" s="214">
        <v>2</v>
      </c>
      <c r="B250" s="379"/>
      <c r="C250" s="379" t="s">
        <v>452</v>
      </c>
      <c r="D250" s="371" t="s">
        <v>453</v>
      </c>
      <c r="E250" s="380" t="s">
        <v>454</v>
      </c>
      <c r="F250" s="380" t="s">
        <v>455</v>
      </c>
      <c r="G250" s="388" t="s">
        <v>19</v>
      </c>
      <c r="H250" s="219">
        <f>H253+H254+H255+H256</f>
        <v>512.79999999999995</v>
      </c>
      <c r="I250" s="313"/>
      <c r="J250" s="157"/>
      <c r="K250" s="163"/>
      <c r="L250" s="57"/>
      <c r="M250" s="58"/>
    </row>
    <row r="251" spans="1:13" ht="13.2">
      <c r="A251" s="214">
        <v>2</v>
      </c>
      <c r="B251" s="215"/>
      <c r="C251" s="215"/>
      <c r="D251" s="225"/>
      <c r="E251" s="210" t="s">
        <v>454</v>
      </c>
      <c r="F251" s="210" t="s">
        <v>455</v>
      </c>
      <c r="G251" s="388" t="s">
        <v>437</v>
      </c>
      <c r="H251" s="364"/>
      <c r="I251" s="313"/>
      <c r="J251" s="157"/>
      <c r="K251" s="163"/>
      <c r="L251" s="57"/>
      <c r="M251" s="60"/>
    </row>
    <row r="252" spans="1:13" ht="13.2">
      <c r="A252" s="214">
        <v>2</v>
      </c>
      <c r="B252" s="215"/>
      <c r="C252" s="215" t="s">
        <v>452</v>
      </c>
      <c r="D252" s="209"/>
      <c r="E252" s="210"/>
      <c r="F252" s="210" t="s">
        <v>455</v>
      </c>
      <c r="G252" s="314" t="s">
        <v>257</v>
      </c>
      <c r="H252" s="220">
        <f>SUM(H250:H251)</f>
        <v>512.79999999999995</v>
      </c>
      <c r="I252" s="313"/>
      <c r="J252" s="157"/>
      <c r="K252" s="163"/>
      <c r="L252" s="57"/>
      <c r="M252" s="60"/>
    </row>
    <row r="253" spans="1:13" ht="35.25" customHeight="1">
      <c r="A253" s="214">
        <v>2</v>
      </c>
      <c r="B253" s="215"/>
      <c r="C253" s="215" t="s">
        <v>456</v>
      </c>
      <c r="D253" s="939" t="s">
        <v>457</v>
      </c>
      <c r="E253" s="210">
        <v>36</v>
      </c>
      <c r="F253" s="210" t="s">
        <v>455</v>
      </c>
      <c r="G253" s="390" t="s">
        <v>19</v>
      </c>
      <c r="H253" s="391">
        <f>295</f>
        <v>295</v>
      </c>
      <c r="I253" s="313" t="s">
        <v>58</v>
      </c>
      <c r="J253" s="903" t="s">
        <v>458</v>
      </c>
      <c r="K253" s="163" t="s">
        <v>459</v>
      </c>
      <c r="L253" s="57">
        <v>100</v>
      </c>
      <c r="M253" s="60" t="s">
        <v>185</v>
      </c>
    </row>
    <row r="254" spans="1:13" ht="30" customHeight="1">
      <c r="A254" s="214">
        <v>2</v>
      </c>
      <c r="B254" s="215"/>
      <c r="C254" s="215" t="s">
        <v>460</v>
      </c>
      <c r="D254" s="940" t="s">
        <v>461</v>
      </c>
      <c r="E254" s="210">
        <v>36</v>
      </c>
      <c r="F254" s="210" t="s">
        <v>455</v>
      </c>
      <c r="G254" s="390" t="s">
        <v>19</v>
      </c>
      <c r="H254" s="391">
        <v>195</v>
      </c>
      <c r="I254" s="313" t="s">
        <v>58</v>
      </c>
      <c r="J254" s="903" t="s">
        <v>458</v>
      </c>
      <c r="K254" s="163" t="s">
        <v>459</v>
      </c>
      <c r="L254" s="57">
        <v>100</v>
      </c>
      <c r="M254" s="60" t="s">
        <v>192</v>
      </c>
    </row>
    <row r="255" spans="1:13" ht="31.2">
      <c r="A255" s="214">
        <v>2</v>
      </c>
      <c r="B255" s="215"/>
      <c r="C255" s="215" t="s">
        <v>462</v>
      </c>
      <c r="D255" s="399" t="s">
        <v>463</v>
      </c>
      <c r="E255" s="210">
        <v>36</v>
      </c>
      <c r="F255" s="210" t="s">
        <v>455</v>
      </c>
      <c r="G255" s="390" t="s">
        <v>19</v>
      </c>
      <c r="H255" s="391">
        <v>12.8</v>
      </c>
      <c r="I255" s="313" t="s">
        <v>58</v>
      </c>
      <c r="J255" s="903" t="s">
        <v>458</v>
      </c>
      <c r="K255" s="163" t="s">
        <v>464</v>
      </c>
      <c r="L255" s="57">
        <v>100</v>
      </c>
      <c r="M255" s="60" t="s">
        <v>227</v>
      </c>
    </row>
    <row r="256" spans="1:13" ht="21">
      <c r="A256" s="214">
        <v>2</v>
      </c>
      <c r="B256" s="215"/>
      <c r="C256" s="215" t="s">
        <v>465</v>
      </c>
      <c r="D256" s="399" t="s">
        <v>466</v>
      </c>
      <c r="E256" s="210">
        <v>38</v>
      </c>
      <c r="F256" s="210" t="s">
        <v>455</v>
      </c>
      <c r="G256" s="390" t="s">
        <v>19</v>
      </c>
      <c r="H256" s="391">
        <f>50-40</f>
        <v>10</v>
      </c>
      <c r="I256" s="313" t="s">
        <v>198</v>
      </c>
      <c r="J256" s="903" t="s">
        <v>467</v>
      </c>
      <c r="K256" s="181" t="s">
        <v>343</v>
      </c>
      <c r="L256" s="157">
        <v>100</v>
      </c>
      <c r="M256" s="60"/>
    </row>
    <row r="257" spans="1:13" ht="20.399999999999999">
      <c r="A257" s="304">
        <v>2</v>
      </c>
      <c r="B257" s="310" t="s">
        <v>468</v>
      </c>
      <c r="C257" s="310" t="s">
        <v>468</v>
      </c>
      <c r="D257" s="315" t="s">
        <v>469</v>
      </c>
      <c r="E257" s="312"/>
      <c r="F257" s="210"/>
      <c r="G257" s="385"/>
      <c r="H257" s="322">
        <f>H259+H266</f>
        <v>555.29999999999995</v>
      </c>
      <c r="I257" s="309"/>
      <c r="J257" s="157"/>
      <c r="K257" s="163"/>
      <c r="L257" s="57"/>
      <c r="M257" s="60"/>
    </row>
    <row r="258" spans="1:13" ht="40.799999999999997">
      <c r="A258" s="214">
        <v>2</v>
      </c>
      <c r="B258" s="215"/>
      <c r="C258" s="215" t="s">
        <v>470</v>
      </c>
      <c r="D258" s="323" t="s">
        <v>471</v>
      </c>
      <c r="E258" s="210">
        <v>2</v>
      </c>
      <c r="F258" s="210" t="s">
        <v>472</v>
      </c>
      <c r="G258" s="219" t="s">
        <v>19</v>
      </c>
      <c r="H258" s="219">
        <f>SUM(H260:H264)</f>
        <v>148.19999999999999</v>
      </c>
      <c r="I258" s="309" t="s">
        <v>64</v>
      </c>
      <c r="J258" s="157"/>
      <c r="K258" s="163"/>
      <c r="L258" s="57"/>
      <c r="M258" s="60"/>
    </row>
    <row r="259" spans="1:13" ht="13.2">
      <c r="A259" s="214">
        <v>2</v>
      </c>
      <c r="B259" s="374"/>
      <c r="C259" s="374" t="s">
        <v>470</v>
      </c>
      <c r="D259" s="373"/>
      <c r="E259" s="375">
        <v>2</v>
      </c>
      <c r="F259" s="375" t="s">
        <v>472</v>
      </c>
      <c r="G259" s="400" t="s">
        <v>257</v>
      </c>
      <c r="H259" s="279">
        <f>SUM(,H258)</f>
        <v>148.19999999999999</v>
      </c>
      <c r="I259" s="309"/>
      <c r="J259" s="157"/>
      <c r="K259" s="163"/>
      <c r="L259" s="57"/>
      <c r="M259" s="62"/>
    </row>
    <row r="260" spans="1:13" ht="20.399999999999999">
      <c r="A260" s="214">
        <v>2</v>
      </c>
      <c r="B260" s="376"/>
      <c r="C260" s="376" t="s">
        <v>473</v>
      </c>
      <c r="D260" s="401" t="s">
        <v>474</v>
      </c>
      <c r="E260" s="402">
        <v>2</v>
      </c>
      <c r="F260" s="402" t="s">
        <v>472</v>
      </c>
      <c r="G260" s="403" t="s">
        <v>19</v>
      </c>
      <c r="H260" s="404">
        <f>20+82+13-115+10.5</f>
        <v>10.5</v>
      </c>
      <c r="I260" s="309" t="s">
        <v>198</v>
      </c>
      <c r="J260" s="163" t="s">
        <v>425</v>
      </c>
      <c r="K260" s="163" t="s">
        <v>475</v>
      </c>
      <c r="L260" s="57">
        <v>1</v>
      </c>
      <c r="M260" s="61" t="s">
        <v>67</v>
      </c>
    </row>
    <row r="261" spans="1:13" ht="20.399999999999999">
      <c r="A261" s="214">
        <v>2</v>
      </c>
      <c r="B261" s="376"/>
      <c r="C261" s="376" t="s">
        <v>476</v>
      </c>
      <c r="D261" s="401" t="s">
        <v>477</v>
      </c>
      <c r="E261" s="402" t="s">
        <v>478</v>
      </c>
      <c r="F261" s="402" t="s">
        <v>472</v>
      </c>
      <c r="G261" s="403" t="s">
        <v>19</v>
      </c>
      <c r="H261" s="404">
        <v>20</v>
      </c>
      <c r="I261" s="309" t="s">
        <v>58</v>
      </c>
      <c r="J261" s="163" t="s">
        <v>479</v>
      </c>
      <c r="K261" s="163" t="s">
        <v>480</v>
      </c>
      <c r="L261" s="57">
        <v>1</v>
      </c>
      <c r="M261" s="61" t="s">
        <v>192</v>
      </c>
    </row>
    <row r="262" spans="1:13" ht="19.95" customHeight="1">
      <c r="A262" s="214">
        <v>2</v>
      </c>
      <c r="B262" s="376"/>
      <c r="C262" s="376" t="s">
        <v>481</v>
      </c>
      <c r="D262" s="405" t="s">
        <v>482</v>
      </c>
      <c r="E262" s="402">
        <v>25</v>
      </c>
      <c r="F262" s="402" t="s">
        <v>483</v>
      </c>
      <c r="G262" s="403" t="s">
        <v>19</v>
      </c>
      <c r="H262" s="404">
        <v>100</v>
      </c>
      <c r="I262" s="309" t="s">
        <v>198</v>
      </c>
      <c r="J262" s="163" t="s">
        <v>484</v>
      </c>
      <c r="K262" s="163" t="s">
        <v>480</v>
      </c>
      <c r="L262" s="57">
        <v>1</v>
      </c>
      <c r="M262" s="61" t="s">
        <v>228</v>
      </c>
    </row>
    <row r="263" spans="1:13" ht="20.399999999999999">
      <c r="A263" s="214">
        <v>2</v>
      </c>
      <c r="B263" s="376"/>
      <c r="C263" s="376" t="s">
        <v>485</v>
      </c>
      <c r="D263" s="405" t="s">
        <v>486</v>
      </c>
      <c r="E263" s="402">
        <v>2</v>
      </c>
      <c r="F263" s="402" t="s">
        <v>487</v>
      </c>
      <c r="G263" s="403" t="s">
        <v>19</v>
      </c>
      <c r="H263" s="404">
        <f>18.2-10.5</f>
        <v>7.6999999999999993</v>
      </c>
      <c r="I263" s="309" t="s">
        <v>198</v>
      </c>
      <c r="J263" s="163" t="s">
        <v>397</v>
      </c>
      <c r="K263" s="163" t="s">
        <v>488</v>
      </c>
      <c r="L263" s="57">
        <v>2</v>
      </c>
      <c r="M263" s="61" t="s">
        <v>185</v>
      </c>
    </row>
    <row r="264" spans="1:13" ht="20.399999999999999">
      <c r="A264" s="214">
        <v>2</v>
      </c>
      <c r="B264" s="377"/>
      <c r="C264" s="377" t="s">
        <v>489</v>
      </c>
      <c r="D264" s="401" t="s">
        <v>490</v>
      </c>
      <c r="E264" s="406">
        <v>2</v>
      </c>
      <c r="F264" s="402" t="s">
        <v>487</v>
      </c>
      <c r="G264" s="407" t="s">
        <v>19</v>
      </c>
      <c r="H264" s="404">
        <f>40-30</f>
        <v>10</v>
      </c>
      <c r="I264" s="309" t="s">
        <v>198</v>
      </c>
      <c r="J264" s="163" t="s">
        <v>491</v>
      </c>
      <c r="K264" s="163" t="s">
        <v>492</v>
      </c>
      <c r="L264" s="57">
        <v>2</v>
      </c>
      <c r="M264" s="61" t="s">
        <v>228</v>
      </c>
    </row>
    <row r="265" spans="1:13" ht="20.399999999999999">
      <c r="A265" s="214">
        <v>2</v>
      </c>
      <c r="B265" s="379"/>
      <c r="C265" s="379" t="s">
        <v>493</v>
      </c>
      <c r="D265" s="371" t="s">
        <v>494</v>
      </c>
      <c r="E265" s="408"/>
      <c r="F265" s="380" t="s">
        <v>495</v>
      </c>
      <c r="G265" s="388" t="s">
        <v>19</v>
      </c>
      <c r="H265" s="219">
        <f>SUM(H267:H271)</f>
        <v>407.1</v>
      </c>
      <c r="I265" s="309" t="s">
        <v>182</v>
      </c>
      <c r="J265" s="157"/>
      <c r="K265" s="163"/>
      <c r="L265" s="57"/>
      <c r="M265" s="58" t="s">
        <v>67</v>
      </c>
    </row>
    <row r="266" spans="1:13" ht="13.2">
      <c r="A266" s="304">
        <v>2</v>
      </c>
      <c r="B266" s="215"/>
      <c r="C266" s="379" t="s">
        <v>493</v>
      </c>
      <c r="D266" s="225"/>
      <c r="E266" s="380"/>
      <c r="F266" s="380"/>
      <c r="G266" s="314" t="s">
        <v>257</v>
      </c>
      <c r="H266" s="220">
        <f>SUM(H265)</f>
        <v>407.1</v>
      </c>
      <c r="I266" s="309" t="s">
        <v>182</v>
      </c>
      <c r="J266" s="157"/>
      <c r="K266" s="163"/>
      <c r="L266" s="57"/>
      <c r="M266" s="60"/>
    </row>
    <row r="267" spans="1:13" ht="22.5" customHeight="1">
      <c r="A267" s="214">
        <v>2</v>
      </c>
      <c r="B267" s="215"/>
      <c r="C267" s="379" t="s">
        <v>493</v>
      </c>
      <c r="D267" s="225"/>
      <c r="E267" s="210">
        <v>2</v>
      </c>
      <c r="F267" s="210" t="s">
        <v>495</v>
      </c>
      <c r="G267" s="214" t="s">
        <v>19</v>
      </c>
      <c r="H267" s="404">
        <v>35.4</v>
      </c>
      <c r="I267" s="309" t="s">
        <v>182</v>
      </c>
      <c r="J267" s="163" t="s">
        <v>397</v>
      </c>
      <c r="K267" s="163" t="s">
        <v>2100</v>
      </c>
      <c r="L267" s="57">
        <v>1</v>
      </c>
      <c r="M267" s="60" t="s">
        <v>67</v>
      </c>
    </row>
    <row r="268" spans="1:13" ht="12.75" customHeight="1">
      <c r="A268" s="214">
        <v>2</v>
      </c>
      <c r="B268" s="215"/>
      <c r="C268" s="379" t="s">
        <v>493</v>
      </c>
      <c r="D268" s="209"/>
      <c r="E268" s="210">
        <v>36</v>
      </c>
      <c r="F268" s="210" t="s">
        <v>495</v>
      </c>
      <c r="G268" s="214" t="s">
        <v>19</v>
      </c>
      <c r="H268" s="404">
        <v>162.1</v>
      </c>
      <c r="I268" s="309" t="s">
        <v>182</v>
      </c>
      <c r="J268" s="880" t="s">
        <v>458</v>
      </c>
      <c r="K268" s="181" t="s">
        <v>496</v>
      </c>
      <c r="L268" s="57">
        <v>16</v>
      </c>
      <c r="M268" s="60" t="s">
        <v>67</v>
      </c>
    </row>
    <row r="269" spans="1:13" ht="12.75" customHeight="1">
      <c r="A269" s="214">
        <v>2</v>
      </c>
      <c r="B269" s="215"/>
      <c r="C269" s="379" t="s">
        <v>493</v>
      </c>
      <c r="D269" s="209"/>
      <c r="E269" s="210" t="s">
        <v>478</v>
      </c>
      <c r="F269" s="210" t="s">
        <v>495</v>
      </c>
      <c r="G269" s="214" t="s">
        <v>19</v>
      </c>
      <c r="H269" s="404">
        <v>20</v>
      </c>
      <c r="I269" s="309" t="s">
        <v>182</v>
      </c>
      <c r="J269" s="163" t="s">
        <v>497</v>
      </c>
      <c r="K269" s="163" t="s">
        <v>204</v>
      </c>
      <c r="L269" s="57">
        <v>100</v>
      </c>
      <c r="M269" s="60" t="s">
        <v>67</v>
      </c>
    </row>
    <row r="270" spans="1:13" ht="12.75" customHeight="1">
      <c r="A270" s="214">
        <v>2</v>
      </c>
      <c r="B270" s="215"/>
      <c r="C270" s="379" t="s">
        <v>493</v>
      </c>
      <c r="D270" s="209"/>
      <c r="E270" s="210">
        <v>9</v>
      </c>
      <c r="F270" s="210" t="s">
        <v>495</v>
      </c>
      <c r="G270" s="214" t="s">
        <v>19</v>
      </c>
      <c r="H270" s="404">
        <v>186.1</v>
      </c>
      <c r="I270" s="309" t="s">
        <v>182</v>
      </c>
      <c r="J270" s="163" t="s">
        <v>188</v>
      </c>
      <c r="K270" s="163" t="s">
        <v>204</v>
      </c>
      <c r="L270" s="57">
        <v>100</v>
      </c>
      <c r="M270" s="60" t="s">
        <v>67</v>
      </c>
    </row>
    <row r="271" spans="1:13" ht="16.2" customHeight="1">
      <c r="A271" s="304">
        <v>2</v>
      </c>
      <c r="B271" s="215"/>
      <c r="C271" s="379" t="s">
        <v>493</v>
      </c>
      <c r="D271" s="209"/>
      <c r="E271" s="214">
        <v>23</v>
      </c>
      <c r="F271" s="210" t="s">
        <v>2112</v>
      </c>
      <c r="G271" s="214" t="s">
        <v>19</v>
      </c>
      <c r="H271" s="404">
        <v>3.5</v>
      </c>
      <c r="I271" s="309" t="s">
        <v>182</v>
      </c>
      <c r="J271" s="880" t="s">
        <v>498</v>
      </c>
      <c r="K271" s="181" t="s">
        <v>499</v>
      </c>
      <c r="L271" s="57">
        <v>1</v>
      </c>
      <c r="M271" s="60" t="s">
        <v>67</v>
      </c>
    </row>
    <row r="272" spans="1:13" ht="12.75" hidden="1" customHeight="1">
      <c r="A272" s="214">
        <v>2</v>
      </c>
      <c r="B272" s="215"/>
      <c r="C272" s="215"/>
      <c r="D272" s="209"/>
      <c r="E272" s="210"/>
      <c r="F272" s="210"/>
      <c r="G272" s="301" t="s">
        <v>257</v>
      </c>
      <c r="H272" s="301">
        <f>SUM(H266,H259,H252,H244,H240,H238,H232,H229,H226,H222,H218,H213,H211,H206,H198,H195,H190,H169,H164,H162,H234,)</f>
        <v>4873.4999999999991</v>
      </c>
      <c r="I272" s="309"/>
      <c r="J272" s="157"/>
      <c r="K272" s="163"/>
      <c r="L272" s="57"/>
      <c r="M272" s="60"/>
    </row>
    <row r="273" spans="1:13" ht="12.75" hidden="1" customHeight="1">
      <c r="A273" s="214">
        <v>2</v>
      </c>
      <c r="B273" s="215"/>
      <c r="C273" s="215"/>
      <c r="D273" s="209"/>
      <c r="E273" s="210"/>
      <c r="F273" s="210"/>
      <c r="G273" s="214" t="s">
        <v>19</v>
      </c>
      <c r="H273" s="211">
        <f>SUM(H161,H163,H237,H239,H189,H230,H223,H221,H215,H214,H212,H209,H194,H227,H233,H224,H267,H268,H269,H270,H271,H264,H263,H262,H261,H260,H256,H255,H254,H253,H249,H248,H247,H246,H245,H170,H171,H172,H173,H174,H182,H225)</f>
        <v>2216.1000000000004</v>
      </c>
      <c r="I273" s="309"/>
      <c r="J273" s="157"/>
      <c r="K273" s="163"/>
      <c r="L273" s="57"/>
      <c r="M273" s="60"/>
    </row>
    <row r="274" spans="1:13" ht="12.75" hidden="1" customHeight="1">
      <c r="A274" s="214">
        <v>2</v>
      </c>
      <c r="B274" s="215"/>
      <c r="C274" s="215"/>
      <c r="D274" s="209"/>
      <c r="E274" s="210"/>
      <c r="F274" s="210"/>
      <c r="G274" s="214" t="s">
        <v>178</v>
      </c>
      <c r="H274" s="211">
        <f>H210</f>
        <v>200</v>
      </c>
      <c r="I274" s="309"/>
      <c r="J274" s="157"/>
      <c r="K274" s="163"/>
      <c r="L274" s="57"/>
      <c r="M274" s="60"/>
    </row>
    <row r="275" spans="1:13" ht="12.75" hidden="1" customHeight="1">
      <c r="A275" s="214">
        <v>2</v>
      </c>
      <c r="B275" s="215"/>
      <c r="C275" s="215"/>
      <c r="D275" s="209"/>
      <c r="E275" s="210"/>
      <c r="F275" s="210"/>
      <c r="G275" s="214" t="s">
        <v>177</v>
      </c>
      <c r="H275" s="211">
        <f>H219</f>
        <v>395.7</v>
      </c>
      <c r="I275" s="309"/>
      <c r="J275" s="157"/>
      <c r="K275" s="163"/>
      <c r="L275" s="57"/>
      <c r="M275" s="60"/>
    </row>
    <row r="276" spans="1:13" ht="12.75" hidden="1" customHeight="1">
      <c r="A276" s="304">
        <v>2</v>
      </c>
      <c r="B276" s="215"/>
      <c r="C276" s="215"/>
      <c r="D276" s="209"/>
      <c r="E276" s="210"/>
      <c r="F276" s="210"/>
      <c r="G276" s="210" t="s">
        <v>22</v>
      </c>
      <c r="H276" s="211"/>
      <c r="I276" s="309"/>
      <c r="J276" s="157"/>
      <c r="K276" s="163"/>
      <c r="L276" s="57"/>
      <c r="M276" s="60"/>
    </row>
    <row r="277" spans="1:13" ht="12.75" hidden="1" customHeight="1">
      <c r="A277" s="214">
        <v>2</v>
      </c>
      <c r="B277" s="215"/>
      <c r="C277" s="215"/>
      <c r="D277" s="209"/>
      <c r="E277" s="210"/>
      <c r="F277" s="210"/>
      <c r="G277" s="210" t="s">
        <v>21</v>
      </c>
      <c r="H277" s="211"/>
      <c r="I277" s="309"/>
      <c r="J277" s="157"/>
      <c r="K277" s="163"/>
      <c r="L277" s="57"/>
      <c r="M277" s="60"/>
    </row>
    <row r="278" spans="1:13" ht="12.75" hidden="1" customHeight="1">
      <c r="A278" s="214">
        <v>2</v>
      </c>
      <c r="B278" s="215"/>
      <c r="C278" s="215"/>
      <c r="D278" s="209"/>
      <c r="E278" s="210"/>
      <c r="F278" s="210"/>
      <c r="G278" s="210" t="s">
        <v>278</v>
      </c>
      <c r="H278" s="211">
        <f>SUM(H167,H197,H205)</f>
        <v>700.2</v>
      </c>
      <c r="I278" s="309"/>
      <c r="J278" s="157"/>
      <c r="K278" s="163"/>
      <c r="L278" s="57"/>
      <c r="M278" s="60"/>
    </row>
    <row r="279" spans="1:13" ht="12.75" hidden="1" customHeight="1">
      <c r="A279" s="214">
        <v>2</v>
      </c>
      <c r="B279" s="215"/>
      <c r="C279" s="215"/>
      <c r="D279" s="209"/>
      <c r="E279" s="210"/>
      <c r="F279" s="210"/>
      <c r="G279" s="210" t="s">
        <v>56</v>
      </c>
      <c r="H279" s="211">
        <f>SUM(H187,H216,H220,H231,H228,H191)</f>
        <v>1226.3</v>
      </c>
      <c r="I279" s="309"/>
      <c r="J279" s="157"/>
      <c r="K279" s="163"/>
      <c r="L279" s="57"/>
      <c r="M279" s="60"/>
    </row>
    <row r="280" spans="1:13" ht="12.75" hidden="1" customHeight="1">
      <c r="A280" s="214">
        <v>2</v>
      </c>
      <c r="B280" s="215"/>
      <c r="C280" s="215"/>
      <c r="D280" s="209"/>
      <c r="E280" s="210"/>
      <c r="F280" s="210"/>
      <c r="G280" s="210" t="s">
        <v>500</v>
      </c>
      <c r="H280" s="211"/>
      <c r="I280" s="309"/>
      <c r="J280" s="157"/>
      <c r="K280" s="163"/>
      <c r="L280" s="57"/>
      <c r="M280" s="60"/>
    </row>
    <row r="281" spans="1:13" ht="12.75" hidden="1" customHeight="1">
      <c r="A281" s="304">
        <v>2</v>
      </c>
      <c r="B281" s="215"/>
      <c r="C281" s="215"/>
      <c r="D281" s="209"/>
      <c r="E281" s="210"/>
      <c r="F281" s="210"/>
      <c r="G281" s="210" t="s">
        <v>259</v>
      </c>
      <c r="H281" s="211">
        <f>SUM(H193)</f>
        <v>86.2</v>
      </c>
      <c r="I281" s="309"/>
      <c r="J281" s="157"/>
      <c r="K281" s="163"/>
      <c r="L281" s="57"/>
      <c r="M281" s="60"/>
    </row>
    <row r="282" spans="1:13" ht="12.75" hidden="1" customHeight="1">
      <c r="A282" s="214">
        <v>2</v>
      </c>
      <c r="B282" s="215"/>
      <c r="C282" s="215"/>
      <c r="D282" s="209"/>
      <c r="E282" s="210"/>
      <c r="F282" s="210"/>
      <c r="G282" s="210" t="s">
        <v>59</v>
      </c>
      <c r="H282" s="211">
        <f>SUM(H188,H192,H217)</f>
        <v>49</v>
      </c>
      <c r="I282" s="309"/>
      <c r="J282" s="157"/>
      <c r="K282" s="163"/>
      <c r="L282" s="57"/>
      <c r="M282" s="60"/>
    </row>
    <row r="283" spans="1:13" ht="12.75" hidden="1" customHeight="1">
      <c r="A283" s="214">
        <v>2</v>
      </c>
      <c r="B283" s="215"/>
      <c r="C283" s="215"/>
      <c r="D283" s="209"/>
      <c r="E283" s="210"/>
      <c r="F283" s="210"/>
      <c r="G283" s="210" t="s">
        <v>437</v>
      </c>
      <c r="H283" s="211"/>
      <c r="I283" s="309"/>
      <c r="J283" s="157"/>
      <c r="K283" s="163"/>
      <c r="L283" s="57"/>
      <c r="M283" s="60"/>
    </row>
    <row r="284" spans="1:13" ht="12.75" hidden="1" customHeight="1">
      <c r="A284" s="214">
        <v>2</v>
      </c>
      <c r="B284" s="215"/>
      <c r="C284" s="215"/>
      <c r="D284" s="209"/>
      <c r="E284" s="210"/>
      <c r="F284" s="210"/>
      <c r="G284" s="301" t="s">
        <v>257</v>
      </c>
      <c r="H284" s="301">
        <f>SUM(H273:H283)</f>
        <v>4873.5</v>
      </c>
      <c r="I284" s="309"/>
      <c r="J284" s="157"/>
      <c r="K284" s="163"/>
      <c r="L284" s="57"/>
      <c r="M284" s="60"/>
    </row>
    <row r="285" spans="1:13" ht="12.75" hidden="1" customHeight="1">
      <c r="A285" s="214">
        <v>2</v>
      </c>
      <c r="B285" s="409"/>
      <c r="C285" s="215"/>
      <c r="D285" s="209"/>
      <c r="E285" s="210"/>
      <c r="F285" s="210"/>
      <c r="G285" s="210"/>
      <c r="H285" s="211">
        <f>H272-H284</f>
        <v>0</v>
      </c>
      <c r="I285" s="309"/>
      <c r="J285" s="157"/>
      <c r="K285" s="163"/>
      <c r="L285" s="57"/>
      <c r="M285" s="60"/>
    </row>
    <row r="286" spans="1:13" ht="12.75" customHeight="1">
      <c r="A286" s="946"/>
      <c r="B286" s="946"/>
      <c r="C286" s="946"/>
      <c r="D286" s="946" t="s">
        <v>2089</v>
      </c>
      <c r="E286" s="947"/>
      <c r="F286" s="946"/>
      <c r="G286" s="946"/>
      <c r="H286" s="946"/>
      <c r="I286" s="946"/>
      <c r="J286" s="946"/>
      <c r="K286" s="946"/>
      <c r="L286" s="946"/>
      <c r="M286" s="948"/>
    </row>
    <row r="287" spans="1:13" ht="20.399999999999999">
      <c r="A287" s="304">
        <v>3</v>
      </c>
      <c r="B287" s="305"/>
      <c r="C287" s="305"/>
      <c r="D287" s="306" t="s">
        <v>501</v>
      </c>
      <c r="E287" s="307"/>
      <c r="F287" s="308"/>
      <c r="G287" s="307"/>
      <c r="H287" s="307"/>
      <c r="I287" s="309"/>
      <c r="J287" s="157"/>
      <c r="K287" s="163"/>
      <c r="L287" s="57"/>
      <c r="M287" s="58"/>
    </row>
    <row r="288" spans="1:13" ht="28.8">
      <c r="A288" s="210">
        <v>3</v>
      </c>
      <c r="B288" s="310" t="s">
        <v>502</v>
      </c>
      <c r="C288" s="310" t="s">
        <v>502</v>
      </c>
      <c r="D288" s="315" t="s">
        <v>503</v>
      </c>
      <c r="E288" s="410"/>
      <c r="F288" s="411"/>
      <c r="G288" s="303"/>
      <c r="H288" s="414"/>
      <c r="I288" s="309"/>
      <c r="J288" s="181" t="s">
        <v>504</v>
      </c>
      <c r="K288" s="904" t="s">
        <v>505</v>
      </c>
      <c r="L288" s="57">
        <v>13</v>
      </c>
      <c r="M288" s="63"/>
    </row>
    <row r="289" spans="1:13" ht="38.4">
      <c r="A289" s="210">
        <v>3</v>
      </c>
      <c r="B289" s="215"/>
      <c r="C289" s="215" t="s">
        <v>506</v>
      </c>
      <c r="D289" s="975" t="s">
        <v>507</v>
      </c>
      <c r="E289" s="215" t="s">
        <v>508</v>
      </c>
      <c r="F289" s="210" t="s">
        <v>509</v>
      </c>
      <c r="G289" s="413" t="s">
        <v>510</v>
      </c>
      <c r="H289" s="414">
        <v>752.8</v>
      </c>
      <c r="I289" s="309"/>
      <c r="J289" s="181" t="s">
        <v>504</v>
      </c>
      <c r="K289" s="904" t="s">
        <v>511</v>
      </c>
      <c r="L289" s="57">
        <v>1</v>
      </c>
      <c r="M289" s="63"/>
    </row>
    <row r="290" spans="1:13" ht="28.8">
      <c r="A290" s="304">
        <v>3</v>
      </c>
      <c r="B290" s="215"/>
      <c r="C290" s="215"/>
      <c r="D290" s="976"/>
      <c r="E290" s="215" t="s">
        <v>508</v>
      </c>
      <c r="F290" s="210" t="s">
        <v>509</v>
      </c>
      <c r="G290" s="413" t="s">
        <v>21</v>
      </c>
      <c r="H290" s="414">
        <v>30</v>
      </c>
      <c r="I290" s="309"/>
      <c r="J290" s="181" t="s">
        <v>504</v>
      </c>
      <c r="K290" s="904" t="s">
        <v>512</v>
      </c>
      <c r="L290" s="57">
        <v>5</v>
      </c>
      <c r="M290" s="63"/>
    </row>
    <row r="291" spans="1:13" ht="28.8">
      <c r="A291" s="210">
        <v>3</v>
      </c>
      <c r="B291" s="215"/>
      <c r="C291" s="215"/>
      <c r="D291" s="977"/>
      <c r="E291" s="215" t="s">
        <v>508</v>
      </c>
      <c r="F291" s="210" t="s">
        <v>509</v>
      </c>
      <c r="G291" s="413" t="s">
        <v>513</v>
      </c>
      <c r="H291" s="414">
        <v>104.3</v>
      </c>
      <c r="I291" s="309"/>
      <c r="J291" s="181" t="s">
        <v>504</v>
      </c>
      <c r="K291" s="904" t="s">
        <v>514</v>
      </c>
      <c r="L291" s="57">
        <v>2</v>
      </c>
      <c r="M291" s="63"/>
    </row>
    <row r="292" spans="1:13" ht="38.4">
      <c r="A292" s="210">
        <v>3</v>
      </c>
      <c r="B292" s="215"/>
      <c r="C292" s="215"/>
      <c r="D292" s="416"/>
      <c r="E292" s="215" t="s">
        <v>508</v>
      </c>
      <c r="F292" s="210" t="s">
        <v>509</v>
      </c>
      <c r="G292" s="314" t="s">
        <v>257</v>
      </c>
      <c r="H292" s="220">
        <f>SUM(H289:H291)</f>
        <v>887.09999999999991</v>
      </c>
      <c r="I292" s="309"/>
      <c r="J292" s="181" t="s">
        <v>504</v>
      </c>
      <c r="K292" s="905" t="s">
        <v>515</v>
      </c>
      <c r="L292" s="57">
        <v>9</v>
      </c>
      <c r="M292" s="63"/>
    </row>
    <row r="293" spans="1:13" ht="30.6">
      <c r="A293" s="304">
        <v>3</v>
      </c>
      <c r="B293" s="215"/>
      <c r="C293" s="215" t="s">
        <v>516</v>
      </c>
      <c r="D293" s="209" t="s">
        <v>517</v>
      </c>
      <c r="E293" s="215" t="s">
        <v>508</v>
      </c>
      <c r="F293" s="309" t="s">
        <v>518</v>
      </c>
      <c r="G293" s="413" t="s">
        <v>19</v>
      </c>
      <c r="H293" s="414">
        <v>6</v>
      </c>
      <c r="I293" s="309" t="s">
        <v>49</v>
      </c>
      <c r="J293" s="181" t="s">
        <v>519</v>
      </c>
      <c r="K293" s="161" t="s">
        <v>520</v>
      </c>
      <c r="L293" s="57">
        <v>60</v>
      </c>
      <c r="M293" s="63"/>
    </row>
    <row r="294" spans="1:13" ht="13.2">
      <c r="A294" s="210">
        <v>3</v>
      </c>
      <c r="B294" s="215"/>
      <c r="C294" s="215"/>
      <c r="D294" s="209"/>
      <c r="E294" s="215"/>
      <c r="F294" s="309" t="s">
        <v>518</v>
      </c>
      <c r="G294" s="314" t="s">
        <v>257</v>
      </c>
      <c r="H294" s="220">
        <f>SUM(H293)</f>
        <v>6</v>
      </c>
      <c r="I294" s="309"/>
      <c r="J294" s="157"/>
      <c r="K294" s="163"/>
      <c r="L294" s="57"/>
      <c r="M294" s="63"/>
    </row>
    <row r="295" spans="1:13" ht="20.399999999999999">
      <c r="A295" s="210">
        <v>3</v>
      </c>
      <c r="B295" s="215"/>
      <c r="C295" s="215" t="s">
        <v>521</v>
      </c>
      <c r="D295" s="209" t="s">
        <v>522</v>
      </c>
      <c r="E295" s="215" t="s">
        <v>508</v>
      </c>
      <c r="F295" s="309" t="s">
        <v>523</v>
      </c>
      <c r="G295" s="413" t="s">
        <v>19</v>
      </c>
      <c r="H295" s="414">
        <v>100</v>
      </c>
      <c r="I295" s="309" t="s">
        <v>64</v>
      </c>
      <c r="J295" s="163" t="s">
        <v>524</v>
      </c>
      <c r="K295" s="181" t="s">
        <v>525</v>
      </c>
      <c r="L295" s="57">
        <v>100</v>
      </c>
      <c r="M295" s="63"/>
    </row>
    <row r="296" spans="1:13" ht="13.2">
      <c r="A296" s="304">
        <v>3</v>
      </c>
      <c r="B296" s="215"/>
      <c r="C296" s="215"/>
      <c r="D296" s="209"/>
      <c r="E296" s="215"/>
      <c r="F296" s="309"/>
      <c r="G296" s="314" t="s">
        <v>257</v>
      </c>
      <c r="H296" s="220">
        <f>SUM(H295)</f>
        <v>100</v>
      </c>
      <c r="I296" s="309"/>
      <c r="J296" s="157"/>
      <c r="K296" s="163"/>
      <c r="L296" s="57"/>
      <c r="M296" s="63"/>
    </row>
    <row r="297" spans="1:13" ht="49.5" customHeight="1">
      <c r="A297" s="210">
        <v>3</v>
      </c>
      <c r="B297" s="215"/>
      <c r="C297" s="215" t="s">
        <v>526</v>
      </c>
      <c r="D297" s="209" t="s">
        <v>527</v>
      </c>
      <c r="E297" s="215" t="s">
        <v>376</v>
      </c>
      <c r="F297" s="309" t="s">
        <v>528</v>
      </c>
      <c r="G297" s="413" t="s">
        <v>19</v>
      </c>
      <c r="H297" s="414">
        <v>12.8</v>
      </c>
      <c r="I297" s="309" t="s">
        <v>58</v>
      </c>
      <c r="J297" s="163" t="s">
        <v>378</v>
      </c>
      <c r="K297" s="163" t="s">
        <v>529</v>
      </c>
      <c r="L297" s="57">
        <v>1</v>
      </c>
      <c r="M297" s="63" t="s">
        <v>67</v>
      </c>
    </row>
    <row r="298" spans="1:13" ht="13.2">
      <c r="A298" s="210">
        <v>3</v>
      </c>
      <c r="B298" s="215"/>
      <c r="C298" s="215"/>
      <c r="D298" s="209"/>
      <c r="E298" s="215" t="s">
        <v>376</v>
      </c>
      <c r="F298" s="309" t="s">
        <v>528</v>
      </c>
      <c r="G298" s="413" t="s">
        <v>56</v>
      </c>
      <c r="H298" s="414">
        <v>307.3</v>
      </c>
      <c r="I298" s="309"/>
      <c r="J298" s="157"/>
      <c r="K298" s="163"/>
      <c r="L298" s="57"/>
      <c r="M298" s="63" t="s">
        <v>67</v>
      </c>
    </row>
    <row r="299" spans="1:13" ht="13.2">
      <c r="A299" s="304">
        <v>3</v>
      </c>
      <c r="B299" s="215"/>
      <c r="C299" s="215"/>
      <c r="D299" s="417"/>
      <c r="E299" s="215" t="s">
        <v>376</v>
      </c>
      <c r="F299" s="309" t="s">
        <v>528</v>
      </c>
      <c r="G299" s="413" t="s">
        <v>59</v>
      </c>
      <c r="H299" s="414">
        <v>39.5</v>
      </c>
      <c r="I299" s="309"/>
      <c r="J299" s="157"/>
      <c r="K299" s="163"/>
      <c r="L299" s="57"/>
      <c r="M299" s="63" t="s">
        <v>67</v>
      </c>
    </row>
    <row r="300" spans="1:13" ht="13.2">
      <c r="A300" s="210">
        <v>3</v>
      </c>
      <c r="B300" s="215"/>
      <c r="C300" s="215"/>
      <c r="D300" s="417"/>
      <c r="E300" s="215" t="s">
        <v>530</v>
      </c>
      <c r="F300" s="309" t="s">
        <v>531</v>
      </c>
      <c r="G300" s="418" t="s">
        <v>19</v>
      </c>
      <c r="H300" s="414"/>
      <c r="I300" s="309" t="s">
        <v>58</v>
      </c>
      <c r="J300" s="157"/>
      <c r="K300" s="163"/>
      <c r="L300" s="57"/>
      <c r="M300" s="63" t="s">
        <v>67</v>
      </c>
    </row>
    <row r="301" spans="1:13" ht="13.2">
      <c r="A301" s="210">
        <v>3</v>
      </c>
      <c r="B301" s="215"/>
      <c r="C301" s="215"/>
      <c r="D301" s="417"/>
      <c r="E301" s="215"/>
      <c r="F301" s="309" t="s">
        <v>528</v>
      </c>
      <c r="G301" s="314" t="s">
        <v>257</v>
      </c>
      <c r="H301" s="220">
        <f>SUM(H297:H300)</f>
        <v>359.6</v>
      </c>
      <c r="I301" s="309"/>
      <c r="J301" s="157"/>
      <c r="K301" s="163"/>
      <c r="L301" s="57"/>
      <c r="M301" s="63"/>
    </row>
    <row r="302" spans="1:13" ht="20.399999999999999">
      <c r="A302" s="210">
        <v>3</v>
      </c>
      <c r="B302" s="310" t="s">
        <v>532</v>
      </c>
      <c r="C302" s="310" t="s">
        <v>532</v>
      </c>
      <c r="D302" s="315" t="s">
        <v>533</v>
      </c>
      <c r="E302" s="410"/>
      <c r="F302" s="411"/>
      <c r="G302" s="419"/>
      <c r="H302" s="414"/>
      <c r="I302" s="309"/>
      <c r="J302" s="157"/>
      <c r="K302" s="163"/>
      <c r="L302" s="57"/>
      <c r="M302" s="63"/>
    </row>
    <row r="303" spans="1:13" ht="13.2">
      <c r="A303" s="304">
        <v>3</v>
      </c>
      <c r="B303" s="420"/>
      <c r="C303" s="420" t="s">
        <v>534</v>
      </c>
      <c r="D303" s="209" t="s">
        <v>535</v>
      </c>
      <c r="E303" s="309" t="s">
        <v>536</v>
      </c>
      <c r="F303" s="210" t="s">
        <v>537</v>
      </c>
      <c r="G303" s="413" t="s">
        <v>538</v>
      </c>
      <c r="H303" s="414">
        <v>3430</v>
      </c>
      <c r="I303" s="309"/>
      <c r="J303" s="163" t="s">
        <v>2076</v>
      </c>
      <c r="K303" s="163" t="s">
        <v>2077</v>
      </c>
      <c r="L303" s="57">
        <v>1</v>
      </c>
      <c r="M303" s="63"/>
    </row>
    <row r="304" spans="1:13" ht="13.2">
      <c r="A304" s="210">
        <v>3</v>
      </c>
      <c r="B304" s="420"/>
      <c r="C304" s="420"/>
      <c r="D304" s="209"/>
      <c r="E304" s="309" t="s">
        <v>536</v>
      </c>
      <c r="F304" s="210" t="s">
        <v>537</v>
      </c>
      <c r="G304" s="413" t="s">
        <v>539</v>
      </c>
      <c r="H304" s="219">
        <v>34</v>
      </c>
      <c r="I304" s="309"/>
      <c r="J304" s="157"/>
      <c r="K304" s="163"/>
      <c r="L304" s="57"/>
      <c r="M304" s="64"/>
    </row>
    <row r="305" spans="1:13" ht="13.2">
      <c r="A305" s="210">
        <v>3</v>
      </c>
      <c r="B305" s="420"/>
      <c r="C305" s="420"/>
      <c r="D305" s="209"/>
      <c r="E305" s="309"/>
      <c r="F305" s="210" t="s">
        <v>537</v>
      </c>
      <c r="G305" s="314" t="s">
        <v>257</v>
      </c>
      <c r="H305" s="220">
        <f>SUM(H303:H304)</f>
        <v>3464</v>
      </c>
      <c r="I305" s="309"/>
      <c r="J305" s="157"/>
      <c r="K305" s="163"/>
      <c r="L305" s="57"/>
      <c r="M305" s="65"/>
    </row>
    <row r="306" spans="1:13" ht="20.399999999999999">
      <c r="A306" s="304">
        <v>3</v>
      </c>
      <c r="B306" s="420"/>
      <c r="C306" s="420" t="s">
        <v>540</v>
      </c>
      <c r="D306" s="225" t="s">
        <v>541</v>
      </c>
      <c r="E306" s="309">
        <v>18</v>
      </c>
      <c r="F306" s="210" t="s">
        <v>542</v>
      </c>
      <c r="G306" s="313" t="s">
        <v>19</v>
      </c>
      <c r="H306" s="219">
        <v>7</v>
      </c>
      <c r="I306" s="309" t="s">
        <v>64</v>
      </c>
      <c r="J306" s="163" t="s">
        <v>543</v>
      </c>
      <c r="K306" s="163" t="s">
        <v>544</v>
      </c>
      <c r="L306" s="57">
        <v>100</v>
      </c>
      <c r="M306" s="65"/>
    </row>
    <row r="307" spans="1:13" ht="13.2">
      <c r="A307" s="210">
        <v>3</v>
      </c>
      <c r="B307" s="420"/>
      <c r="C307" s="420"/>
      <c r="D307" s="225"/>
      <c r="E307" s="309"/>
      <c r="F307" s="210"/>
      <c r="G307" s="314" t="s">
        <v>257</v>
      </c>
      <c r="H307" s="220">
        <f>SUM(H306)</f>
        <v>7</v>
      </c>
      <c r="I307" s="309"/>
      <c r="J307" s="157"/>
      <c r="K307" s="163"/>
      <c r="L307" s="57"/>
      <c r="M307" s="65"/>
    </row>
    <row r="308" spans="1:13" ht="33" customHeight="1">
      <c r="A308" s="210">
        <v>3</v>
      </c>
      <c r="B308" s="420"/>
      <c r="C308" s="420" t="s">
        <v>545</v>
      </c>
      <c r="D308" s="209" t="s">
        <v>546</v>
      </c>
      <c r="E308" s="309">
        <v>18</v>
      </c>
      <c r="F308" s="210" t="s">
        <v>547</v>
      </c>
      <c r="G308" s="413" t="s">
        <v>21</v>
      </c>
      <c r="H308" s="414"/>
      <c r="I308" s="309"/>
      <c r="J308" s="157"/>
      <c r="K308" s="163"/>
      <c r="L308" s="57"/>
      <c r="M308" s="65"/>
    </row>
    <row r="309" spans="1:13" ht="20.399999999999999">
      <c r="A309" s="304">
        <v>3</v>
      </c>
      <c r="B309" s="420"/>
      <c r="C309" s="420"/>
      <c r="D309" s="209"/>
      <c r="E309" s="309">
        <v>18</v>
      </c>
      <c r="F309" s="210" t="s">
        <v>547</v>
      </c>
      <c r="G309" s="413" t="s">
        <v>19</v>
      </c>
      <c r="H309" s="414">
        <v>20</v>
      </c>
      <c r="I309" s="309" t="s">
        <v>64</v>
      </c>
      <c r="J309" s="181" t="s">
        <v>548</v>
      </c>
      <c r="K309" s="181" t="s">
        <v>549</v>
      </c>
      <c r="L309" s="57">
        <v>146</v>
      </c>
      <c r="M309" s="65"/>
    </row>
    <row r="310" spans="1:13" ht="13.2">
      <c r="A310" s="210">
        <v>3</v>
      </c>
      <c r="B310" s="420"/>
      <c r="C310" s="420"/>
      <c r="D310" s="421"/>
      <c r="E310" s="227"/>
      <c r="F310" s="210" t="s">
        <v>547</v>
      </c>
      <c r="G310" s="314" t="s">
        <v>257</v>
      </c>
      <c r="H310" s="220">
        <f>SUM(H308:H309)</f>
        <v>20</v>
      </c>
      <c r="I310" s="309"/>
      <c r="J310" s="157"/>
      <c r="K310" s="906"/>
      <c r="L310" s="907"/>
      <c r="M310" s="175"/>
    </row>
    <row r="311" spans="1:13" ht="20.399999999999999">
      <c r="A311" s="210">
        <v>3</v>
      </c>
      <c r="B311" s="310" t="s">
        <v>550</v>
      </c>
      <c r="C311" s="310" t="s">
        <v>550</v>
      </c>
      <c r="D311" s="315" t="s">
        <v>551</v>
      </c>
      <c r="E311" s="410"/>
      <c r="F311" s="411"/>
      <c r="G311" s="303"/>
      <c r="H311" s="412">
        <f>SUM(H313,H315,H317,H319,H321,H323,H325,H328,H330,H332,H334,H345,H347)</f>
        <v>2914.7999999999997</v>
      </c>
      <c r="I311" s="309"/>
      <c r="J311" s="157"/>
      <c r="K311" s="163"/>
      <c r="L311" s="57"/>
      <c r="M311" s="179"/>
    </row>
    <row r="312" spans="1:13" ht="20.399999999999999">
      <c r="A312" s="304">
        <v>3</v>
      </c>
      <c r="B312" s="227"/>
      <c r="C312" s="227" t="s">
        <v>552</v>
      </c>
      <c r="D312" s="209" t="s">
        <v>553</v>
      </c>
      <c r="E312" s="309">
        <v>19</v>
      </c>
      <c r="F312" s="309" t="s">
        <v>554</v>
      </c>
      <c r="G312" s="309" t="s">
        <v>19</v>
      </c>
      <c r="H312" s="219">
        <f>107.4+12</f>
        <v>119.4</v>
      </c>
      <c r="I312" s="309" t="s">
        <v>49</v>
      </c>
      <c r="J312" s="181" t="s">
        <v>555</v>
      </c>
      <c r="K312" s="181" t="s">
        <v>556</v>
      </c>
      <c r="L312" s="57">
        <v>20.2</v>
      </c>
      <c r="M312" s="180" t="s">
        <v>222</v>
      </c>
    </row>
    <row r="313" spans="1:13" ht="13.2">
      <c r="A313" s="210">
        <v>3</v>
      </c>
      <c r="B313" s="227"/>
      <c r="C313" s="227" t="s">
        <v>552</v>
      </c>
      <c r="D313" s="209"/>
      <c r="E313" s="309"/>
      <c r="F313" s="309" t="s">
        <v>557</v>
      </c>
      <c r="G313" s="314" t="s">
        <v>257</v>
      </c>
      <c r="H313" s="220">
        <f>SUM(H312)</f>
        <v>119.4</v>
      </c>
      <c r="I313" s="309"/>
      <c r="J313" s="181"/>
      <c r="K313" s="181"/>
      <c r="L313" s="57"/>
      <c r="M313" s="180">
        <f>SUM(M312)</f>
        <v>0</v>
      </c>
    </row>
    <row r="314" spans="1:13" ht="20.399999999999999">
      <c r="A314" s="210">
        <v>3</v>
      </c>
      <c r="B314" s="227"/>
      <c r="C314" s="227" t="s">
        <v>558</v>
      </c>
      <c r="D314" s="209" t="s">
        <v>559</v>
      </c>
      <c r="E314" s="309">
        <v>20</v>
      </c>
      <c r="F314" s="309" t="s">
        <v>560</v>
      </c>
      <c r="G314" s="309" t="s">
        <v>19</v>
      </c>
      <c r="H314" s="219">
        <v>149.6</v>
      </c>
      <c r="I314" s="309" t="s">
        <v>49</v>
      </c>
      <c r="J314" s="181" t="s">
        <v>561</v>
      </c>
      <c r="K314" s="181" t="s">
        <v>556</v>
      </c>
      <c r="L314" s="57">
        <v>22.1</v>
      </c>
      <c r="M314" s="181" t="s">
        <v>562</v>
      </c>
    </row>
    <row r="315" spans="1:13" ht="13.2">
      <c r="A315" s="304">
        <v>3</v>
      </c>
      <c r="B315" s="227"/>
      <c r="C315" s="227" t="s">
        <v>558</v>
      </c>
      <c r="D315" s="209"/>
      <c r="E315" s="309"/>
      <c r="F315" s="309" t="s">
        <v>560</v>
      </c>
      <c r="G315" s="314" t="s">
        <v>257</v>
      </c>
      <c r="H315" s="220">
        <f>SUM(H314)</f>
        <v>149.6</v>
      </c>
      <c r="I315" s="309"/>
      <c r="J315" s="181"/>
      <c r="K315" s="181"/>
      <c r="L315" s="57"/>
      <c r="M315" s="180">
        <f>SUM(M314)</f>
        <v>0</v>
      </c>
    </row>
    <row r="316" spans="1:13" ht="20.399999999999999">
      <c r="A316" s="210">
        <v>3</v>
      </c>
      <c r="B316" s="227"/>
      <c r="C316" s="227" t="s">
        <v>563</v>
      </c>
      <c r="D316" s="209" t="s">
        <v>564</v>
      </c>
      <c r="E316" s="309">
        <v>21</v>
      </c>
      <c r="F316" s="309" t="s">
        <v>565</v>
      </c>
      <c r="G316" s="309" t="s">
        <v>19</v>
      </c>
      <c r="H316" s="219">
        <v>237.5</v>
      </c>
      <c r="I316" s="309" t="s">
        <v>49</v>
      </c>
      <c r="J316" s="181" t="s">
        <v>566</v>
      </c>
      <c r="K316" s="181" t="s">
        <v>567</v>
      </c>
      <c r="L316" s="57">
        <v>2</v>
      </c>
      <c r="M316" s="181" t="s">
        <v>189</v>
      </c>
    </row>
    <row r="317" spans="1:13" ht="13.2">
      <c r="A317" s="210">
        <v>3</v>
      </c>
      <c r="B317" s="227"/>
      <c r="C317" s="227" t="s">
        <v>563</v>
      </c>
      <c r="D317" s="209"/>
      <c r="E317" s="309"/>
      <c r="F317" s="309" t="s">
        <v>565</v>
      </c>
      <c r="G317" s="314" t="s">
        <v>257</v>
      </c>
      <c r="H317" s="220">
        <f>SUM(H316)</f>
        <v>237.5</v>
      </c>
      <c r="I317" s="309"/>
      <c r="J317" s="181" t="s">
        <v>566</v>
      </c>
      <c r="K317" s="181" t="s">
        <v>556</v>
      </c>
      <c r="L317" s="57">
        <v>57.9</v>
      </c>
      <c r="M317" s="181" t="s">
        <v>189</v>
      </c>
    </row>
    <row r="318" spans="1:13" ht="20.399999999999999">
      <c r="A318" s="304">
        <v>3</v>
      </c>
      <c r="B318" s="227"/>
      <c r="C318" s="227" t="s">
        <v>568</v>
      </c>
      <c r="D318" s="209" t="s">
        <v>569</v>
      </c>
      <c r="E318" s="309">
        <v>22</v>
      </c>
      <c r="F318" s="309" t="s">
        <v>570</v>
      </c>
      <c r="G318" s="309" t="s">
        <v>19</v>
      </c>
      <c r="H318" s="414">
        <v>112.3</v>
      </c>
      <c r="I318" s="309" t="s">
        <v>49</v>
      </c>
      <c r="J318" s="181" t="s">
        <v>571</v>
      </c>
      <c r="K318" s="181" t="s">
        <v>572</v>
      </c>
      <c r="L318" s="57">
        <v>17.899999999999999</v>
      </c>
      <c r="M318" s="148" t="s">
        <v>256</v>
      </c>
    </row>
    <row r="319" spans="1:13" ht="13.2">
      <c r="A319" s="210">
        <v>3</v>
      </c>
      <c r="B319" s="227"/>
      <c r="C319" s="227" t="s">
        <v>568</v>
      </c>
      <c r="D319" s="209"/>
      <c r="E319" s="309"/>
      <c r="F319" s="309" t="s">
        <v>570</v>
      </c>
      <c r="G319" s="314" t="s">
        <v>257</v>
      </c>
      <c r="H319" s="220">
        <f>SUM(H318)</f>
        <v>112.3</v>
      </c>
      <c r="I319" s="309"/>
      <c r="J319" s="181"/>
      <c r="K319" s="181"/>
      <c r="L319" s="57"/>
      <c r="M319" s="180"/>
    </row>
    <row r="320" spans="1:13" ht="30.6">
      <c r="A320" s="210">
        <v>3</v>
      </c>
      <c r="B320" s="227"/>
      <c r="C320" s="227" t="s">
        <v>573</v>
      </c>
      <c r="D320" s="225" t="s">
        <v>574</v>
      </c>
      <c r="E320" s="313">
        <v>23</v>
      </c>
      <c r="F320" s="313" t="s">
        <v>575</v>
      </c>
      <c r="G320" s="309" t="s">
        <v>19</v>
      </c>
      <c r="H320" s="219">
        <v>691.8</v>
      </c>
      <c r="I320" s="309" t="s">
        <v>49</v>
      </c>
      <c r="J320" s="181" t="s">
        <v>576</v>
      </c>
      <c r="K320" s="181" t="s">
        <v>556</v>
      </c>
      <c r="L320" s="57">
        <v>93.9</v>
      </c>
      <c r="M320" s="148" t="s">
        <v>67</v>
      </c>
    </row>
    <row r="321" spans="1:13" ht="13.2">
      <c r="A321" s="304">
        <v>3</v>
      </c>
      <c r="B321" s="227"/>
      <c r="C321" s="227" t="s">
        <v>573</v>
      </c>
      <c r="D321" s="225"/>
      <c r="E321" s="313"/>
      <c r="F321" s="313" t="s">
        <v>575</v>
      </c>
      <c r="G321" s="314" t="s">
        <v>257</v>
      </c>
      <c r="H321" s="220">
        <f>SUM(H320)</f>
        <v>691.8</v>
      </c>
      <c r="I321" s="309"/>
      <c r="J321" s="181"/>
      <c r="K321" s="181"/>
      <c r="L321" s="57"/>
      <c r="M321" s="180"/>
    </row>
    <row r="322" spans="1:13" ht="20.399999999999999">
      <c r="A322" s="210">
        <v>3</v>
      </c>
      <c r="B322" s="227"/>
      <c r="C322" s="227" t="s">
        <v>577</v>
      </c>
      <c r="D322" s="209" t="s">
        <v>578</v>
      </c>
      <c r="E322" s="309">
        <v>24</v>
      </c>
      <c r="F322" s="309" t="s">
        <v>579</v>
      </c>
      <c r="G322" s="309" t="s">
        <v>19</v>
      </c>
      <c r="H322" s="414">
        <v>98</v>
      </c>
      <c r="I322" s="309" t="s">
        <v>49</v>
      </c>
      <c r="J322" s="181" t="s">
        <v>580</v>
      </c>
      <c r="K322" s="181" t="s">
        <v>556</v>
      </c>
      <c r="L322" s="57">
        <v>14.2</v>
      </c>
      <c r="M322" s="148" t="s">
        <v>373</v>
      </c>
    </row>
    <row r="323" spans="1:13" ht="13.2">
      <c r="A323" s="210">
        <v>3</v>
      </c>
      <c r="B323" s="227"/>
      <c r="C323" s="227" t="s">
        <v>577</v>
      </c>
      <c r="D323" s="209"/>
      <c r="E323" s="309"/>
      <c r="F323" s="309" t="s">
        <v>579</v>
      </c>
      <c r="G323" s="314" t="s">
        <v>257</v>
      </c>
      <c r="H323" s="220">
        <f>SUM(H322)</f>
        <v>98</v>
      </c>
      <c r="I323" s="309"/>
      <c r="J323" s="181"/>
      <c r="K323" s="181"/>
      <c r="L323" s="57"/>
      <c r="M323" s="180"/>
    </row>
    <row r="324" spans="1:13" ht="20.399999999999999">
      <c r="A324" s="304">
        <v>3</v>
      </c>
      <c r="B324" s="227"/>
      <c r="C324" s="227" t="s">
        <v>581</v>
      </c>
      <c r="D324" s="209" t="s">
        <v>582</v>
      </c>
      <c r="E324" s="309">
        <v>25</v>
      </c>
      <c r="F324" s="309" t="s">
        <v>583</v>
      </c>
      <c r="G324" s="309" t="s">
        <v>19</v>
      </c>
      <c r="H324" s="414">
        <v>226.3</v>
      </c>
      <c r="I324" s="309" t="s">
        <v>49</v>
      </c>
      <c r="J324" s="181" t="s">
        <v>584</v>
      </c>
      <c r="K324" s="181" t="s">
        <v>556</v>
      </c>
      <c r="L324" s="57">
        <v>34.700000000000003</v>
      </c>
      <c r="M324" s="148" t="s">
        <v>228</v>
      </c>
    </row>
    <row r="325" spans="1:13" ht="13.2">
      <c r="A325" s="210">
        <v>3</v>
      </c>
      <c r="B325" s="227"/>
      <c r="C325" s="227" t="s">
        <v>581</v>
      </c>
      <c r="D325" s="209"/>
      <c r="E325" s="309"/>
      <c r="F325" s="309" t="s">
        <v>583</v>
      </c>
      <c r="G325" s="314" t="s">
        <v>257</v>
      </c>
      <c r="H325" s="220">
        <f>SUM(H324)</f>
        <v>226.3</v>
      </c>
      <c r="I325" s="309"/>
      <c r="J325" s="181"/>
      <c r="K325" s="181"/>
      <c r="L325" s="57"/>
      <c r="M325" s="180"/>
    </row>
    <row r="326" spans="1:13" ht="20.399999999999999">
      <c r="A326" s="210">
        <v>3</v>
      </c>
      <c r="B326" s="227"/>
      <c r="C326" s="227" t="s">
        <v>585</v>
      </c>
      <c r="D326" s="209" t="s">
        <v>586</v>
      </c>
      <c r="E326" s="309">
        <v>26</v>
      </c>
      <c r="F326" s="422" t="s">
        <v>587</v>
      </c>
      <c r="G326" s="309" t="s">
        <v>19</v>
      </c>
      <c r="H326" s="414">
        <v>436.6</v>
      </c>
      <c r="I326" s="309" t="s">
        <v>49</v>
      </c>
      <c r="J326" s="181" t="s">
        <v>588</v>
      </c>
      <c r="K326" s="181" t="s">
        <v>556</v>
      </c>
      <c r="L326" s="57">
        <v>93.4</v>
      </c>
      <c r="M326" s="148" t="s">
        <v>192</v>
      </c>
    </row>
    <row r="327" spans="1:13" ht="13.2">
      <c r="A327" s="304">
        <v>3</v>
      </c>
      <c r="B327" s="227"/>
      <c r="C327" s="227" t="s">
        <v>585</v>
      </c>
      <c r="D327" s="209"/>
      <c r="E327" s="423">
        <v>26</v>
      </c>
      <c r="F327" s="377" t="s">
        <v>587</v>
      </c>
      <c r="G327" s="424" t="s">
        <v>22</v>
      </c>
      <c r="H327" s="414">
        <v>7.2</v>
      </c>
      <c r="I327" s="309"/>
      <c r="J327" s="181"/>
      <c r="K327" s="181"/>
      <c r="L327" s="57"/>
      <c r="M327" s="180" t="s">
        <v>192</v>
      </c>
    </row>
    <row r="328" spans="1:13" ht="13.2">
      <c r="A328" s="210">
        <v>3</v>
      </c>
      <c r="B328" s="227"/>
      <c r="C328" s="227" t="s">
        <v>585</v>
      </c>
      <c r="D328" s="209"/>
      <c r="E328" s="423"/>
      <c r="F328" s="377" t="s">
        <v>587</v>
      </c>
      <c r="G328" s="378" t="s">
        <v>257</v>
      </c>
      <c r="H328" s="220">
        <f>SUM(H326:H327)</f>
        <v>443.8</v>
      </c>
      <c r="I328" s="309"/>
      <c r="J328" s="181"/>
      <c r="K328" s="181"/>
      <c r="L328" s="57"/>
      <c r="M328" s="180">
        <f>SUM(M326:M327)</f>
        <v>0</v>
      </c>
    </row>
    <row r="329" spans="1:13" ht="20.399999999999999">
      <c r="A329" s="210">
        <v>3</v>
      </c>
      <c r="B329" s="227"/>
      <c r="C329" s="227" t="s">
        <v>589</v>
      </c>
      <c r="D329" s="209" t="s">
        <v>590</v>
      </c>
      <c r="E329" s="423">
        <v>27</v>
      </c>
      <c r="F329" s="377" t="s">
        <v>591</v>
      </c>
      <c r="G329" s="424" t="s">
        <v>19</v>
      </c>
      <c r="H329" s="219">
        <v>161.80000000000001</v>
      </c>
      <c r="I329" s="309" t="s">
        <v>49</v>
      </c>
      <c r="J329" s="181" t="s">
        <v>592</v>
      </c>
      <c r="K329" s="181" t="s">
        <v>556</v>
      </c>
      <c r="L329" s="57">
        <v>43.1</v>
      </c>
      <c r="M329" s="148" t="s">
        <v>185</v>
      </c>
    </row>
    <row r="330" spans="1:13" ht="13.2">
      <c r="A330" s="304">
        <v>3</v>
      </c>
      <c r="B330" s="227"/>
      <c r="C330" s="227" t="s">
        <v>589</v>
      </c>
      <c r="D330" s="209"/>
      <c r="E330" s="423"/>
      <c r="F330" s="377" t="s">
        <v>591</v>
      </c>
      <c r="G330" s="378" t="s">
        <v>257</v>
      </c>
      <c r="H330" s="220">
        <f>SUM(H329)</f>
        <v>161.80000000000001</v>
      </c>
      <c r="I330" s="309"/>
      <c r="J330" s="181"/>
      <c r="K330" s="181"/>
      <c r="L330" s="57"/>
      <c r="M330" s="182"/>
    </row>
    <row r="331" spans="1:13" ht="20.399999999999999">
      <c r="A331" s="210">
        <v>3</v>
      </c>
      <c r="B331" s="227"/>
      <c r="C331" s="227" t="s">
        <v>593</v>
      </c>
      <c r="D331" s="209" t="s">
        <v>594</v>
      </c>
      <c r="E331" s="423">
        <v>28</v>
      </c>
      <c r="F331" s="377" t="s">
        <v>595</v>
      </c>
      <c r="G331" s="424" t="s">
        <v>19</v>
      </c>
      <c r="H331" s="414">
        <v>171.7</v>
      </c>
      <c r="I331" s="309" t="s">
        <v>49</v>
      </c>
      <c r="J331" s="181" t="s">
        <v>596</v>
      </c>
      <c r="K331" s="181" t="s">
        <v>556</v>
      </c>
      <c r="L331" s="57">
        <v>37.700000000000003</v>
      </c>
      <c r="M331" s="148" t="s">
        <v>200</v>
      </c>
    </row>
    <row r="332" spans="1:13" ht="13.2">
      <c r="A332" s="210">
        <v>3</v>
      </c>
      <c r="B332" s="227"/>
      <c r="C332" s="227" t="s">
        <v>593</v>
      </c>
      <c r="D332" s="209"/>
      <c r="E332" s="425"/>
      <c r="F332" s="377" t="s">
        <v>595</v>
      </c>
      <c r="G332" s="378" t="s">
        <v>257</v>
      </c>
      <c r="H332" s="220">
        <f>SUM(H331)</f>
        <v>171.7</v>
      </c>
      <c r="I332" s="309"/>
      <c r="J332" s="181"/>
      <c r="K332" s="181"/>
      <c r="L332" s="57"/>
      <c r="M332" s="180"/>
    </row>
    <row r="333" spans="1:13" ht="20.399999999999999">
      <c r="A333" s="304">
        <v>3</v>
      </c>
      <c r="B333" s="227"/>
      <c r="C333" s="227" t="s">
        <v>597</v>
      </c>
      <c r="D333" s="426" t="s">
        <v>598</v>
      </c>
      <c r="E333" s="427">
        <v>29</v>
      </c>
      <c r="F333" s="377" t="s">
        <v>599</v>
      </c>
      <c r="G333" s="424" t="s">
        <v>19</v>
      </c>
      <c r="H333" s="414">
        <v>131.9</v>
      </c>
      <c r="I333" s="309" t="s">
        <v>49</v>
      </c>
      <c r="J333" s="181" t="s">
        <v>600</v>
      </c>
      <c r="K333" s="181" t="s">
        <v>556</v>
      </c>
      <c r="L333" s="57">
        <v>33.799999999999997</v>
      </c>
      <c r="M333" s="180" t="s">
        <v>227</v>
      </c>
    </row>
    <row r="334" spans="1:13" ht="13.2">
      <c r="A334" s="210">
        <v>3</v>
      </c>
      <c r="B334" s="227"/>
      <c r="C334" s="227" t="s">
        <v>597</v>
      </c>
      <c r="D334" s="426"/>
      <c r="E334" s="428"/>
      <c r="F334" s="377" t="s">
        <v>599</v>
      </c>
      <c r="G334" s="378" t="s">
        <v>257</v>
      </c>
      <c r="H334" s="220">
        <f>SUM(H333)</f>
        <v>131.9</v>
      </c>
      <c r="I334" s="309"/>
      <c r="J334" s="157"/>
      <c r="K334" s="163"/>
      <c r="L334" s="57"/>
      <c r="M334" s="180">
        <f>SUM(M333)</f>
        <v>0</v>
      </c>
    </row>
    <row r="335" spans="1:13" ht="13.2">
      <c r="A335" s="210">
        <v>3</v>
      </c>
      <c r="B335" s="429"/>
      <c r="C335" s="429"/>
      <c r="D335" s="430" t="s">
        <v>601</v>
      </c>
      <c r="E335" s="431"/>
      <c r="F335" s="432"/>
      <c r="G335" s="433"/>
      <c r="H335" s="434">
        <f>SUM(H334,H332,H330,H328,H325,H323,H321,H319,H317,H315,H313)</f>
        <v>2544.1</v>
      </c>
      <c r="I335" s="309"/>
      <c r="J335" s="157"/>
      <c r="K335" s="163"/>
      <c r="L335" s="57"/>
      <c r="M335" s="180"/>
    </row>
    <row r="336" spans="1:13" ht="13.2">
      <c r="A336" s="304">
        <v>3</v>
      </c>
      <c r="B336" s="227"/>
      <c r="C336" s="215" t="s">
        <v>602</v>
      </c>
      <c r="D336" s="435" t="s">
        <v>603</v>
      </c>
      <c r="E336" s="817">
        <v>6</v>
      </c>
      <c r="F336" s="210" t="s">
        <v>604</v>
      </c>
      <c r="G336" s="214" t="s">
        <v>22</v>
      </c>
      <c r="H336" s="414">
        <v>2</v>
      </c>
      <c r="I336" s="309"/>
      <c r="J336" s="163" t="s">
        <v>605</v>
      </c>
      <c r="K336" s="163" t="s">
        <v>90</v>
      </c>
      <c r="L336" s="57">
        <v>100</v>
      </c>
      <c r="M336" s="180"/>
    </row>
    <row r="337" spans="1:13" ht="13.2">
      <c r="A337" s="210">
        <v>3</v>
      </c>
      <c r="B337" s="227"/>
      <c r="C337" s="215" t="s">
        <v>602</v>
      </c>
      <c r="D337" s="435" t="s">
        <v>603</v>
      </c>
      <c r="E337" s="817">
        <v>6</v>
      </c>
      <c r="F337" s="210" t="s">
        <v>604</v>
      </c>
      <c r="G337" s="214" t="s">
        <v>606</v>
      </c>
      <c r="H337" s="414"/>
      <c r="I337" s="309"/>
      <c r="J337" s="157"/>
      <c r="K337" s="163"/>
      <c r="L337" s="57"/>
      <c r="M337" s="180"/>
    </row>
    <row r="338" spans="1:13" ht="20.399999999999999">
      <c r="A338" s="210">
        <v>3</v>
      </c>
      <c r="B338" s="227"/>
      <c r="C338" s="215" t="s">
        <v>602</v>
      </c>
      <c r="D338" s="435" t="s">
        <v>603</v>
      </c>
      <c r="E338" s="436" t="s">
        <v>607</v>
      </c>
      <c r="F338" s="214" t="s">
        <v>604</v>
      </c>
      <c r="G338" s="210" t="s">
        <v>19</v>
      </c>
      <c r="H338" s="414">
        <f>100+100-10</f>
        <v>190</v>
      </c>
      <c r="I338" s="309" t="s">
        <v>58</v>
      </c>
      <c r="J338" s="181" t="s">
        <v>608</v>
      </c>
      <c r="K338" s="181" t="s">
        <v>609</v>
      </c>
      <c r="L338" s="908">
        <v>100</v>
      </c>
      <c r="M338" s="148" t="s">
        <v>185</v>
      </c>
    </row>
    <row r="339" spans="1:13" ht="26.25" customHeight="1">
      <c r="A339" s="304">
        <v>3</v>
      </c>
      <c r="B339" s="227"/>
      <c r="C339" s="215" t="s">
        <v>602</v>
      </c>
      <c r="D339" s="435" t="s">
        <v>603</v>
      </c>
      <c r="E339" s="227" t="s">
        <v>530</v>
      </c>
      <c r="F339" s="437" t="s">
        <v>610</v>
      </c>
      <c r="G339" s="210" t="s">
        <v>19</v>
      </c>
      <c r="H339" s="414">
        <f>300-100-100</f>
        <v>100</v>
      </c>
      <c r="I339" s="309" t="s">
        <v>58</v>
      </c>
      <c r="J339" s="181" t="s">
        <v>498</v>
      </c>
      <c r="K339" s="163" t="s">
        <v>611</v>
      </c>
      <c r="L339" s="57">
        <v>1</v>
      </c>
      <c r="M339" s="148" t="s">
        <v>67</v>
      </c>
    </row>
    <row r="340" spans="1:13" ht="13.2">
      <c r="A340" s="210">
        <v>3</v>
      </c>
      <c r="B340" s="227"/>
      <c r="C340" s="215" t="s">
        <v>602</v>
      </c>
      <c r="D340" s="435" t="s">
        <v>603</v>
      </c>
      <c r="E340" s="227" t="s">
        <v>612</v>
      </c>
      <c r="F340" s="438" t="s">
        <v>613</v>
      </c>
      <c r="G340" s="210" t="s">
        <v>19</v>
      </c>
      <c r="H340" s="414">
        <v>5</v>
      </c>
      <c r="I340" s="309" t="s">
        <v>58</v>
      </c>
      <c r="J340" s="181" t="s">
        <v>614</v>
      </c>
      <c r="K340" s="76" t="s">
        <v>615</v>
      </c>
      <c r="L340" s="909">
        <v>1</v>
      </c>
      <c r="M340" s="148" t="s">
        <v>373</v>
      </c>
    </row>
    <row r="341" spans="1:13" ht="21">
      <c r="A341" s="210">
        <v>3</v>
      </c>
      <c r="B341" s="227"/>
      <c r="C341" s="215" t="s">
        <v>602</v>
      </c>
      <c r="D341" s="435" t="s">
        <v>603</v>
      </c>
      <c r="E341" s="227" t="s">
        <v>616</v>
      </c>
      <c r="F341" s="438" t="s">
        <v>617</v>
      </c>
      <c r="G341" s="210" t="s">
        <v>19</v>
      </c>
      <c r="H341" s="414">
        <v>10</v>
      </c>
      <c r="I341" s="309" t="s">
        <v>58</v>
      </c>
      <c r="J341" s="181" t="s">
        <v>411</v>
      </c>
      <c r="K341" s="910" t="s">
        <v>618</v>
      </c>
      <c r="L341" s="911">
        <v>1</v>
      </c>
      <c r="M341" s="180" t="s">
        <v>192</v>
      </c>
    </row>
    <row r="342" spans="1:13" ht="21">
      <c r="A342" s="304">
        <v>3</v>
      </c>
      <c r="B342" s="227"/>
      <c r="C342" s="215" t="s">
        <v>602</v>
      </c>
      <c r="D342" s="435" t="s">
        <v>603</v>
      </c>
      <c r="E342" s="227" t="s">
        <v>619</v>
      </c>
      <c r="F342" s="437" t="s">
        <v>620</v>
      </c>
      <c r="G342" s="210" t="s">
        <v>19</v>
      </c>
      <c r="H342" s="414">
        <v>30</v>
      </c>
      <c r="I342" s="309" t="s">
        <v>58</v>
      </c>
      <c r="J342" s="181" t="s">
        <v>621</v>
      </c>
      <c r="K342" s="910" t="s">
        <v>622</v>
      </c>
      <c r="L342" s="911">
        <v>1</v>
      </c>
      <c r="M342" s="148" t="s">
        <v>200</v>
      </c>
    </row>
    <row r="343" spans="1:13" ht="21">
      <c r="A343" s="210">
        <v>3</v>
      </c>
      <c r="B343" s="227"/>
      <c r="C343" s="215" t="s">
        <v>602</v>
      </c>
      <c r="D343" s="435" t="s">
        <v>603</v>
      </c>
      <c r="E343" s="227" t="s">
        <v>623</v>
      </c>
      <c r="F343" s="439" t="s">
        <v>624</v>
      </c>
      <c r="G343" s="210" t="s">
        <v>19</v>
      </c>
      <c r="H343" s="414">
        <v>20</v>
      </c>
      <c r="I343" s="309" t="s">
        <v>58</v>
      </c>
      <c r="J343" s="163" t="s">
        <v>625</v>
      </c>
      <c r="K343" s="910" t="s">
        <v>626</v>
      </c>
      <c r="L343" s="911">
        <v>1</v>
      </c>
      <c r="M343" s="148" t="s">
        <v>227</v>
      </c>
    </row>
    <row r="344" spans="1:13" ht="21">
      <c r="A344" s="210">
        <v>3</v>
      </c>
      <c r="B344" s="227"/>
      <c r="C344" s="215" t="s">
        <v>602</v>
      </c>
      <c r="D344" s="435" t="s">
        <v>603</v>
      </c>
      <c r="E344" s="227" t="s">
        <v>382</v>
      </c>
      <c r="F344" s="439" t="s">
        <v>627</v>
      </c>
      <c r="G344" s="210" t="s">
        <v>19</v>
      </c>
      <c r="H344" s="414">
        <v>12</v>
      </c>
      <c r="I344" s="309" t="s">
        <v>58</v>
      </c>
      <c r="J344" s="163" t="s">
        <v>386</v>
      </c>
      <c r="K344" s="910" t="s">
        <v>628</v>
      </c>
      <c r="L344" s="911">
        <v>1</v>
      </c>
      <c r="M344" s="148" t="s">
        <v>222</v>
      </c>
    </row>
    <row r="345" spans="1:13" ht="13.2">
      <c r="A345" s="304">
        <v>3</v>
      </c>
      <c r="B345" s="227"/>
      <c r="C345" s="215"/>
      <c r="D345" s="421"/>
      <c r="E345" s="227"/>
      <c r="F345" s="210"/>
      <c r="G345" s="314" t="s">
        <v>257</v>
      </c>
      <c r="H345" s="220">
        <f>SUM(H336:H344)</f>
        <v>369</v>
      </c>
      <c r="I345" s="309"/>
      <c r="J345" s="157"/>
      <c r="K345" s="163"/>
      <c r="L345" s="57"/>
      <c r="M345" s="180"/>
    </row>
    <row r="346" spans="1:13" ht="20.399999999999999">
      <c r="A346" s="210">
        <v>3</v>
      </c>
      <c r="B346" s="420"/>
      <c r="C346" s="440" t="s">
        <v>629</v>
      </c>
      <c r="D346" s="225" t="s">
        <v>630</v>
      </c>
      <c r="E346" s="436" t="s">
        <v>632</v>
      </c>
      <c r="F346" s="214" t="s">
        <v>631</v>
      </c>
      <c r="G346" s="413" t="s">
        <v>19</v>
      </c>
      <c r="H346" s="414">
        <v>1.7</v>
      </c>
      <c r="I346" s="309" t="s">
        <v>64</v>
      </c>
      <c r="J346" s="163" t="s">
        <v>633</v>
      </c>
      <c r="K346" s="163" t="s">
        <v>634</v>
      </c>
      <c r="L346" s="57">
        <v>100</v>
      </c>
      <c r="M346" s="182" t="s">
        <v>562</v>
      </c>
    </row>
    <row r="347" spans="1:13" ht="13.2">
      <c r="A347" s="304">
        <v>3</v>
      </c>
      <c r="B347" s="420"/>
      <c r="C347" s="440"/>
      <c r="D347" s="225"/>
      <c r="E347" s="436"/>
      <c r="F347" s="214" t="s">
        <v>631</v>
      </c>
      <c r="G347" s="314" t="s">
        <v>257</v>
      </c>
      <c r="H347" s="220">
        <f>SUM(H346:H346)</f>
        <v>1.7</v>
      </c>
      <c r="I347" s="309"/>
      <c r="J347" s="157"/>
      <c r="K347" s="163"/>
      <c r="L347" s="57"/>
      <c r="M347" s="180"/>
    </row>
    <row r="348" spans="1:13" ht="13.2">
      <c r="A348" s="210">
        <v>3</v>
      </c>
      <c r="B348" s="310" t="s">
        <v>635</v>
      </c>
      <c r="C348" s="310" t="s">
        <v>635</v>
      </c>
      <c r="D348" s="315" t="s">
        <v>636</v>
      </c>
      <c r="E348" s="436" t="s">
        <v>530</v>
      </c>
      <c r="F348" s="210" t="s">
        <v>637</v>
      </c>
      <c r="G348" s="413" t="s">
        <v>19</v>
      </c>
      <c r="H348" s="414">
        <f>100-100</f>
        <v>0</v>
      </c>
      <c r="I348" s="309" t="s">
        <v>198</v>
      </c>
      <c r="J348" s="157"/>
      <c r="K348" s="163"/>
      <c r="L348" s="57"/>
      <c r="M348" s="180" t="s">
        <v>67</v>
      </c>
    </row>
    <row r="349" spans="1:13" ht="13.2">
      <c r="A349" s="210">
        <v>3</v>
      </c>
      <c r="B349" s="227"/>
      <c r="C349" s="215"/>
      <c r="D349" s="209"/>
      <c r="E349" s="227"/>
      <c r="F349" s="210" t="s">
        <v>637</v>
      </c>
      <c r="G349" s="314" t="s">
        <v>257</v>
      </c>
      <c r="H349" s="220">
        <f>SUM(H348:H348)</f>
        <v>0</v>
      </c>
      <c r="I349" s="309"/>
      <c r="J349" s="157"/>
      <c r="K349" s="163"/>
      <c r="L349" s="57"/>
      <c r="M349" s="183"/>
    </row>
    <row r="350" spans="1:13" ht="13.2" hidden="1">
      <c r="A350" s="304">
        <v>3</v>
      </c>
      <c r="B350" s="227"/>
      <c r="C350" s="215"/>
      <c r="D350" s="209"/>
      <c r="E350" s="227"/>
      <c r="F350" s="210"/>
      <c r="G350" s="301" t="s">
        <v>257</v>
      </c>
      <c r="H350" s="301">
        <f>SUM(H349,H347,H345,H334,H332,H330,H328,H325,H323,H321,H319,H317,H315,H313,H310,H305,H301,H296,H294,H292,H307)</f>
        <v>7758.5</v>
      </c>
      <c r="I350" s="309"/>
      <c r="J350" s="157"/>
      <c r="K350" s="163"/>
      <c r="L350" s="57"/>
      <c r="M350" s="183"/>
    </row>
    <row r="351" spans="1:13" ht="13.2" hidden="1">
      <c r="A351" s="210">
        <v>3</v>
      </c>
      <c r="B351" s="227"/>
      <c r="C351" s="215"/>
      <c r="D351" s="209"/>
      <c r="E351" s="227"/>
      <c r="F351" s="210"/>
      <c r="G351" s="210" t="s">
        <v>19</v>
      </c>
      <c r="H351" s="211">
        <f>SUM(H309,H312,H314,H316,H318,H320,H322,H324,H329,H331,H333,H338,H339,H340,H341,H342,H346,H326,H293,H295,H297,H348,H300,H306,H343,H344)</f>
        <v>3051.3999999999996</v>
      </c>
      <c r="I351" s="309"/>
      <c r="J351" s="157"/>
      <c r="K351" s="163"/>
      <c r="L351" s="57"/>
      <c r="M351" s="183"/>
    </row>
    <row r="352" spans="1:13" ht="13.2" hidden="1">
      <c r="A352" s="210">
        <v>3</v>
      </c>
      <c r="B352" s="227"/>
      <c r="C352" s="215"/>
      <c r="D352" s="209"/>
      <c r="E352" s="227"/>
      <c r="F352" s="210"/>
      <c r="G352" s="210" t="s">
        <v>510</v>
      </c>
      <c r="H352" s="211">
        <f>SUM(H289,)</f>
        <v>752.8</v>
      </c>
      <c r="I352" s="309"/>
      <c r="J352" s="157"/>
      <c r="K352" s="163"/>
      <c r="L352" s="57"/>
      <c r="M352" s="183"/>
    </row>
    <row r="353" spans="1:13" ht="13.2" hidden="1">
      <c r="A353" s="304">
        <v>3</v>
      </c>
      <c r="B353" s="227"/>
      <c r="C353" s="215"/>
      <c r="D353" s="209"/>
      <c r="E353" s="227"/>
      <c r="F353" s="210"/>
      <c r="G353" s="210" t="s">
        <v>513</v>
      </c>
      <c r="H353" s="211">
        <f>SUM(H291)</f>
        <v>104.3</v>
      </c>
      <c r="I353" s="309"/>
      <c r="J353" s="157"/>
      <c r="K353" s="163"/>
      <c r="L353" s="57"/>
      <c r="M353" s="183"/>
    </row>
    <row r="354" spans="1:13" ht="13.2" hidden="1">
      <c r="A354" s="210">
        <v>3</v>
      </c>
      <c r="B354" s="227"/>
      <c r="C354" s="215"/>
      <c r="D354" s="209"/>
      <c r="E354" s="227"/>
      <c r="F354" s="210"/>
      <c r="G354" s="210" t="s">
        <v>56</v>
      </c>
      <c r="H354" s="211">
        <f>SUM(H298)</f>
        <v>307.3</v>
      </c>
      <c r="I354" s="309"/>
      <c r="J354" s="157"/>
      <c r="K354" s="163"/>
      <c r="L354" s="57"/>
      <c r="M354" s="183"/>
    </row>
    <row r="355" spans="1:13" ht="13.2" hidden="1">
      <c r="A355" s="210">
        <v>3</v>
      </c>
      <c r="B355" s="227"/>
      <c r="C355" s="215"/>
      <c r="D355" s="209"/>
      <c r="E355" s="227"/>
      <c r="F355" s="210"/>
      <c r="G355" s="210" t="s">
        <v>59</v>
      </c>
      <c r="H355" s="211">
        <f>SUM(H299)</f>
        <v>39.5</v>
      </c>
      <c r="I355" s="309"/>
      <c r="J355" s="157"/>
      <c r="K355" s="163"/>
      <c r="L355" s="57"/>
      <c r="M355" s="183"/>
    </row>
    <row r="356" spans="1:13" ht="13.2" hidden="1">
      <c r="A356" s="304">
        <v>3</v>
      </c>
      <c r="B356" s="227"/>
      <c r="C356" s="215"/>
      <c r="D356" s="209"/>
      <c r="E356" s="227"/>
      <c r="F356" s="210"/>
      <c r="G356" s="210" t="s">
        <v>22</v>
      </c>
      <c r="H356" s="211">
        <f>SUM(H327,H336)</f>
        <v>9.1999999999999993</v>
      </c>
      <c r="I356" s="309"/>
      <c r="J356" s="157"/>
      <c r="K356" s="163"/>
      <c r="L356" s="57"/>
      <c r="M356" s="183"/>
    </row>
    <row r="357" spans="1:13" ht="13.2" hidden="1">
      <c r="A357" s="210">
        <v>3</v>
      </c>
      <c r="B357" s="227"/>
      <c r="C357" s="215"/>
      <c r="D357" s="209"/>
      <c r="E357" s="227"/>
      <c r="F357" s="210"/>
      <c r="G357" s="214" t="s">
        <v>606</v>
      </c>
      <c r="H357" s="211">
        <f>H337</f>
        <v>0</v>
      </c>
      <c r="I357" s="309"/>
      <c r="J357" s="157"/>
      <c r="K357" s="163"/>
      <c r="L357" s="57"/>
      <c r="M357" s="183"/>
    </row>
    <row r="358" spans="1:13" ht="13.2" hidden="1">
      <c r="A358" s="210">
        <v>3</v>
      </c>
      <c r="B358" s="227"/>
      <c r="C358" s="215"/>
      <c r="D358" s="209"/>
      <c r="E358" s="227"/>
      <c r="F358" s="210"/>
      <c r="G358" s="210" t="s">
        <v>21</v>
      </c>
      <c r="H358" s="211">
        <f>SUM(H290,H308)</f>
        <v>30</v>
      </c>
      <c r="I358" s="309"/>
      <c r="J358" s="157"/>
      <c r="K358" s="176"/>
      <c r="L358" s="177"/>
      <c r="M358" s="178"/>
    </row>
    <row r="359" spans="1:13" ht="13.2" hidden="1">
      <c r="A359" s="304">
        <v>3</v>
      </c>
      <c r="B359" s="227"/>
      <c r="C359" s="215"/>
      <c r="D359" s="209"/>
      <c r="E359" s="227"/>
      <c r="F359" s="210"/>
      <c r="G359" s="210" t="s">
        <v>538</v>
      </c>
      <c r="H359" s="211">
        <f>SUM(H303)</f>
        <v>3430</v>
      </c>
      <c r="I359" s="309"/>
      <c r="J359" s="157"/>
      <c r="K359" s="163"/>
      <c r="L359" s="57"/>
      <c r="M359" s="65"/>
    </row>
    <row r="360" spans="1:13" ht="13.2" hidden="1">
      <c r="A360" s="210">
        <v>3</v>
      </c>
      <c r="B360" s="227"/>
      <c r="C360" s="215"/>
      <c r="D360" s="209"/>
      <c r="E360" s="227"/>
      <c r="F360" s="210"/>
      <c r="G360" s="210" t="s">
        <v>539</v>
      </c>
      <c r="H360" s="211">
        <f>SUM(H304,)</f>
        <v>34</v>
      </c>
      <c r="I360" s="309"/>
      <c r="J360" s="157"/>
      <c r="K360" s="163"/>
      <c r="L360" s="57"/>
      <c r="M360" s="65"/>
    </row>
    <row r="361" spans="1:13" ht="13.2" hidden="1">
      <c r="A361" s="210">
        <v>3</v>
      </c>
      <c r="B361" s="227"/>
      <c r="C361" s="215"/>
      <c r="D361" s="209"/>
      <c r="E361" s="227"/>
      <c r="F361" s="210"/>
      <c r="G361" s="301" t="s">
        <v>257</v>
      </c>
      <c r="H361" s="301">
        <f>SUM(H351:H360)</f>
        <v>7758.5</v>
      </c>
      <c r="I361" s="309"/>
      <c r="J361" s="157"/>
      <c r="K361" s="163"/>
      <c r="L361" s="57"/>
      <c r="M361" s="65"/>
    </row>
    <row r="362" spans="1:13" ht="13.2" hidden="1">
      <c r="A362" s="304">
        <v>3</v>
      </c>
      <c r="B362" s="227"/>
      <c r="C362" s="215"/>
      <c r="D362" s="209"/>
      <c r="E362" s="227"/>
      <c r="F362" s="210"/>
      <c r="G362" s="210"/>
      <c r="H362" s="211">
        <f>H350-H361</f>
        <v>0</v>
      </c>
      <c r="I362" s="309"/>
      <c r="J362" s="157"/>
      <c r="K362" s="163"/>
      <c r="L362" s="57"/>
      <c r="M362" s="65"/>
    </row>
    <row r="363" spans="1:13" ht="13.2">
      <c r="A363" s="946"/>
      <c r="B363" s="946"/>
      <c r="C363" s="946"/>
      <c r="D363" s="946" t="s">
        <v>2090</v>
      </c>
      <c r="E363" s="947"/>
      <c r="F363" s="946"/>
      <c r="G363" s="946"/>
      <c r="H363" s="946"/>
      <c r="I363" s="946"/>
      <c r="J363" s="946"/>
      <c r="K363" s="946"/>
      <c r="L363" s="946"/>
      <c r="M363" s="948"/>
    </row>
    <row r="364" spans="1:13" ht="20.399999999999999">
      <c r="A364" s="380">
        <v>4</v>
      </c>
      <c r="B364" s="305"/>
      <c r="C364" s="305"/>
      <c r="D364" s="306" t="s">
        <v>638</v>
      </c>
      <c r="E364" s="307"/>
      <c r="F364" s="308"/>
      <c r="G364" s="307"/>
      <c r="H364" s="307"/>
      <c r="I364" s="309"/>
      <c r="J364" s="157"/>
      <c r="K364" s="163"/>
      <c r="L364" s="57"/>
      <c r="M364" s="66"/>
    </row>
    <row r="365" spans="1:13" ht="20.399999999999999">
      <c r="A365" s="441">
        <v>4</v>
      </c>
      <c r="B365" s="310" t="s">
        <v>639</v>
      </c>
      <c r="C365" s="310" t="s">
        <v>639</v>
      </c>
      <c r="D365" s="315" t="s">
        <v>640</v>
      </c>
      <c r="E365" s="442"/>
      <c r="F365" s="210"/>
      <c r="G365" s="384"/>
      <c r="H365" s="207"/>
      <c r="I365" s="309"/>
      <c r="J365" s="157"/>
      <c r="K365" s="163"/>
      <c r="L365" s="57"/>
      <c r="M365" s="67"/>
    </row>
    <row r="366" spans="1:13" ht="30.6">
      <c r="A366" s="441">
        <v>4</v>
      </c>
      <c r="B366" s="386"/>
      <c r="C366" s="443" t="s">
        <v>643</v>
      </c>
      <c r="D366" s="470" t="s">
        <v>644</v>
      </c>
      <c r="E366" s="443" t="s">
        <v>646</v>
      </c>
      <c r="F366" s="449" t="s">
        <v>645</v>
      </c>
      <c r="G366" s="449" t="s">
        <v>19</v>
      </c>
      <c r="H366" s="219">
        <v>30</v>
      </c>
      <c r="I366" s="309" t="s">
        <v>64</v>
      </c>
      <c r="J366" s="157"/>
      <c r="K366" s="163"/>
      <c r="L366" s="57"/>
      <c r="M366" s="67"/>
    </row>
    <row r="367" spans="1:13" ht="13.2">
      <c r="A367" s="380">
        <v>4</v>
      </c>
      <c r="B367" s="386"/>
      <c r="C367" s="443"/>
      <c r="D367" s="444"/>
      <c r="E367" s="443"/>
      <c r="F367" s="448"/>
      <c r="G367" s="314" t="s">
        <v>257</v>
      </c>
      <c r="H367" s="220">
        <f>SUM(H366:H366)</f>
        <v>30</v>
      </c>
      <c r="I367" s="309"/>
      <c r="J367" s="157"/>
      <c r="K367" s="163"/>
      <c r="L367" s="57"/>
      <c r="M367" s="67"/>
    </row>
    <row r="368" spans="1:13" ht="13.2">
      <c r="A368" s="441">
        <v>4</v>
      </c>
      <c r="B368" s="386"/>
      <c r="C368" s="443" t="s">
        <v>647</v>
      </c>
      <c r="D368" s="444" t="s">
        <v>648</v>
      </c>
      <c r="E368" s="443" t="s">
        <v>646</v>
      </c>
      <c r="F368" s="445" t="s">
        <v>649</v>
      </c>
      <c r="G368" s="441" t="s">
        <v>510</v>
      </c>
      <c r="H368" s="219">
        <f>117.5</f>
        <v>117.5</v>
      </c>
      <c r="I368" s="309"/>
      <c r="J368" s="913" t="s">
        <v>650</v>
      </c>
      <c r="K368" s="912" t="s">
        <v>651</v>
      </c>
      <c r="L368" s="914">
        <v>10</v>
      </c>
      <c r="M368" s="67"/>
    </row>
    <row r="369" spans="1:13" ht="13.2">
      <c r="A369" s="380">
        <v>4</v>
      </c>
      <c r="B369" s="386"/>
      <c r="C369" s="443"/>
      <c r="D369" s="444"/>
      <c r="E369" s="443" t="s">
        <v>646</v>
      </c>
      <c r="F369" s="445" t="s">
        <v>649</v>
      </c>
      <c r="G369" s="451" t="s">
        <v>19</v>
      </c>
      <c r="H369" s="219"/>
      <c r="I369" s="309"/>
      <c r="J369" s="157"/>
      <c r="K369" s="163"/>
      <c r="L369" s="57"/>
      <c r="M369" s="67"/>
    </row>
    <row r="370" spans="1:13" ht="13.2">
      <c r="A370" s="441">
        <v>4</v>
      </c>
      <c r="B370" s="386"/>
      <c r="C370" s="443"/>
      <c r="D370" s="444"/>
      <c r="E370" s="443" t="s">
        <v>646</v>
      </c>
      <c r="F370" s="445" t="s">
        <v>649</v>
      </c>
      <c r="G370" s="441" t="s">
        <v>513</v>
      </c>
      <c r="H370" s="219">
        <v>34.6</v>
      </c>
      <c r="I370" s="309"/>
      <c r="J370" s="157"/>
      <c r="K370" s="163"/>
      <c r="L370" s="57"/>
      <c r="M370" s="67"/>
    </row>
    <row r="371" spans="1:13" ht="13.2">
      <c r="A371" s="380">
        <v>4</v>
      </c>
      <c r="B371" s="386"/>
      <c r="C371" s="443"/>
      <c r="D371" s="444"/>
      <c r="E371" s="443"/>
      <c r="F371" s="445" t="s">
        <v>649</v>
      </c>
      <c r="G371" s="314" t="s">
        <v>257</v>
      </c>
      <c r="H371" s="220">
        <f>SUM(H368:H370)</f>
        <v>152.1</v>
      </c>
      <c r="I371" s="309"/>
      <c r="J371" s="157"/>
      <c r="K371" s="163"/>
      <c r="L371" s="57"/>
      <c r="M371" s="67"/>
    </row>
    <row r="372" spans="1:13" ht="34.950000000000003" customHeight="1">
      <c r="A372" s="441">
        <v>4</v>
      </c>
      <c r="B372" s="386"/>
      <c r="C372" s="443" t="s">
        <v>652</v>
      </c>
      <c r="D372" s="444" t="s">
        <v>653</v>
      </c>
      <c r="E372" s="443" t="s">
        <v>646</v>
      </c>
      <c r="F372" s="449" t="s">
        <v>654</v>
      </c>
      <c r="G372" s="449" t="s">
        <v>56</v>
      </c>
      <c r="H372" s="450">
        <f>206.2-31</f>
        <v>175.2</v>
      </c>
      <c r="I372" s="309"/>
      <c r="J372" s="913" t="s">
        <v>650</v>
      </c>
      <c r="K372" s="912" t="s">
        <v>655</v>
      </c>
      <c r="L372" s="914">
        <v>1</v>
      </c>
      <c r="M372" s="67"/>
    </row>
    <row r="373" spans="1:13" ht="13.2">
      <c r="A373" s="380">
        <v>4</v>
      </c>
      <c r="B373" s="386"/>
      <c r="C373" s="443"/>
      <c r="D373" s="444"/>
      <c r="E373" s="443" t="s">
        <v>646</v>
      </c>
      <c r="F373" s="449" t="s">
        <v>654</v>
      </c>
      <c r="G373" s="453" t="s">
        <v>59</v>
      </c>
      <c r="H373" s="450">
        <v>31</v>
      </c>
      <c r="I373" s="309"/>
      <c r="J373" s="157"/>
      <c r="K373" s="163"/>
      <c r="L373" s="57"/>
      <c r="M373" s="67"/>
    </row>
    <row r="374" spans="1:13" ht="13.2">
      <c r="A374" s="441">
        <v>4</v>
      </c>
      <c r="B374" s="386"/>
      <c r="C374" s="443"/>
      <c r="D374" s="444"/>
      <c r="E374" s="443"/>
      <c r="F374" s="449"/>
      <c r="G374" s="314" t="s">
        <v>257</v>
      </c>
      <c r="H374" s="220">
        <f>SUM(H372:H373)</f>
        <v>206.2</v>
      </c>
      <c r="I374" s="309"/>
      <c r="J374" s="157"/>
      <c r="K374" s="163"/>
      <c r="L374" s="57"/>
      <c r="M374" s="67"/>
    </row>
    <row r="375" spans="1:13" ht="13.2">
      <c r="A375" s="441">
        <v>4</v>
      </c>
      <c r="B375" s="386"/>
      <c r="C375" s="443" t="s">
        <v>656</v>
      </c>
      <c r="D375" s="444" t="s">
        <v>657</v>
      </c>
      <c r="E375" s="443">
        <v>17</v>
      </c>
      <c r="F375" s="449" t="s">
        <v>658</v>
      </c>
      <c r="G375" s="449" t="s">
        <v>19</v>
      </c>
      <c r="H375" s="219">
        <v>50</v>
      </c>
      <c r="I375" s="446" t="s">
        <v>64</v>
      </c>
      <c r="J375" s="915" t="s">
        <v>659</v>
      </c>
      <c r="K375" s="916" t="s">
        <v>660</v>
      </c>
      <c r="L375" s="914">
        <v>4</v>
      </c>
      <c r="M375" s="67"/>
    </row>
    <row r="376" spans="1:13" ht="13.2">
      <c r="A376" s="380">
        <v>4</v>
      </c>
      <c r="B376" s="386"/>
      <c r="C376" s="454" t="s">
        <v>661</v>
      </c>
      <c r="D376" s="455" t="s">
        <v>661</v>
      </c>
      <c r="E376" s="456" t="s">
        <v>661</v>
      </c>
      <c r="F376" s="457" t="s">
        <v>661</v>
      </c>
      <c r="G376" s="314" t="s">
        <v>257</v>
      </c>
      <c r="H376" s="220">
        <f>SUM(H375)</f>
        <v>50</v>
      </c>
      <c r="I376" s="416" t="s">
        <v>661</v>
      </c>
      <c r="J376" s="68"/>
      <c r="K376" s="917"/>
      <c r="L376" s="68"/>
      <c r="M376" s="67"/>
    </row>
    <row r="377" spans="1:13" ht="20.399999999999999">
      <c r="A377" s="441">
        <v>4</v>
      </c>
      <c r="B377" s="386"/>
      <c r="C377" s="443" t="s">
        <v>662</v>
      </c>
      <c r="D377" s="458" t="s">
        <v>663</v>
      </c>
      <c r="E377" s="443" t="s">
        <v>646</v>
      </c>
      <c r="F377" s="449" t="s">
        <v>664</v>
      </c>
      <c r="G377" s="449" t="s">
        <v>19</v>
      </c>
      <c r="H377" s="450">
        <v>12</v>
      </c>
      <c r="I377" s="309" t="s">
        <v>49</v>
      </c>
      <c r="J377" s="913" t="s">
        <v>665</v>
      </c>
      <c r="K377" s="912" t="s">
        <v>666</v>
      </c>
      <c r="L377" s="914">
        <v>1</v>
      </c>
      <c r="M377" s="67"/>
    </row>
    <row r="378" spans="1:13" ht="13.2">
      <c r="A378" s="441">
        <v>4</v>
      </c>
      <c r="B378" s="386"/>
      <c r="C378" s="443"/>
      <c r="D378" s="459"/>
      <c r="E378" s="443" t="s">
        <v>646</v>
      </c>
      <c r="F378" s="445" t="s">
        <v>664</v>
      </c>
      <c r="G378" s="314" t="s">
        <v>257</v>
      </c>
      <c r="H378" s="220">
        <f>SUM(H377)</f>
        <v>12</v>
      </c>
      <c r="I378" s="309"/>
      <c r="J378" s="157"/>
      <c r="K378" s="163"/>
      <c r="L378" s="57"/>
      <c r="M378" s="67"/>
    </row>
    <row r="379" spans="1:13" ht="20.399999999999999">
      <c r="A379" s="380">
        <v>4</v>
      </c>
      <c r="B379" s="310" t="s">
        <v>667</v>
      </c>
      <c r="C379" s="310" t="s">
        <v>667</v>
      </c>
      <c r="D379" s="315" t="s">
        <v>668</v>
      </c>
      <c r="E379" s="442"/>
      <c r="F379" s="210"/>
      <c r="G379" s="303"/>
      <c r="H379" s="207"/>
      <c r="I379" s="460"/>
      <c r="J379" s="901"/>
      <c r="K379" s="902"/>
      <c r="L379" s="918"/>
      <c r="M379" s="69"/>
    </row>
    <row r="380" spans="1:13" ht="30.6">
      <c r="A380" s="441">
        <v>4</v>
      </c>
      <c r="B380" s="443"/>
      <c r="C380" s="443" t="s">
        <v>669</v>
      </c>
      <c r="D380" s="458" t="s">
        <v>670</v>
      </c>
      <c r="E380" s="443" t="s">
        <v>671</v>
      </c>
      <c r="F380" s="441" t="s">
        <v>672</v>
      </c>
      <c r="G380" s="441" t="s">
        <v>19</v>
      </c>
      <c r="H380" s="219">
        <f>180-60</f>
        <v>120</v>
      </c>
      <c r="I380" s="309" t="s">
        <v>64</v>
      </c>
      <c r="J380" s="163" t="s">
        <v>2079</v>
      </c>
      <c r="K380" s="163"/>
      <c r="L380" s="57"/>
      <c r="M380" s="67"/>
    </row>
    <row r="381" spans="1:13" ht="13.2">
      <c r="A381" s="441">
        <v>4</v>
      </c>
      <c r="B381" s="443"/>
      <c r="C381" s="443"/>
      <c r="D381" s="458"/>
      <c r="E381" s="443"/>
      <c r="F381" s="441" t="s">
        <v>672</v>
      </c>
      <c r="G381" s="314" t="s">
        <v>257</v>
      </c>
      <c r="H381" s="220">
        <f>SUM(H380:H380)</f>
        <v>120</v>
      </c>
      <c r="I381" s="309"/>
      <c r="J381" s="157"/>
      <c r="K381" s="163"/>
      <c r="L381" s="57"/>
      <c r="M381" s="67"/>
    </row>
    <row r="382" spans="1:13" ht="20.399999999999999">
      <c r="A382" s="380">
        <v>4</v>
      </c>
      <c r="B382" s="443"/>
      <c r="C382" s="443" t="s">
        <v>673</v>
      </c>
      <c r="D382" s="444" t="s">
        <v>674</v>
      </c>
      <c r="E382" s="443" t="s">
        <v>646</v>
      </c>
      <c r="F382" s="448" t="s">
        <v>675</v>
      </c>
      <c r="G382" s="441" t="s">
        <v>19</v>
      </c>
      <c r="H382" s="461">
        <v>160</v>
      </c>
      <c r="I382" s="309" t="s">
        <v>64</v>
      </c>
      <c r="J382" s="912" t="s">
        <v>676</v>
      </c>
      <c r="K382" s="912" t="s">
        <v>677</v>
      </c>
      <c r="L382" s="914">
        <v>8</v>
      </c>
      <c r="M382" s="67"/>
    </row>
    <row r="383" spans="1:13" ht="13.2">
      <c r="A383" s="441">
        <v>4</v>
      </c>
      <c r="B383" s="443"/>
      <c r="C383" s="443"/>
      <c r="D383" s="444"/>
      <c r="E383" s="443" t="s">
        <v>646</v>
      </c>
      <c r="F383" s="448" t="s">
        <v>675</v>
      </c>
      <c r="G383" s="314" t="s">
        <v>257</v>
      </c>
      <c r="H383" s="220">
        <f>SUM(H382:H382)</f>
        <v>160</v>
      </c>
      <c r="I383" s="309"/>
      <c r="J383" s="157"/>
      <c r="K383" s="163"/>
      <c r="L383" s="57"/>
      <c r="M383" s="67"/>
    </row>
    <row r="384" spans="1:13" ht="13.2">
      <c r="A384" s="380">
        <v>4</v>
      </c>
      <c r="B384" s="443"/>
      <c r="C384" s="447" t="s">
        <v>678</v>
      </c>
      <c r="D384" s="997" t="s">
        <v>679</v>
      </c>
      <c r="E384" s="443" t="s">
        <v>682</v>
      </c>
      <c r="F384" s="448" t="s">
        <v>681</v>
      </c>
      <c r="G384" s="449" t="s">
        <v>19</v>
      </c>
      <c r="H384" s="450">
        <v>2</v>
      </c>
      <c r="I384" s="309" t="s">
        <v>49</v>
      </c>
      <c r="J384" s="163" t="s">
        <v>2081</v>
      </c>
      <c r="K384" s="163"/>
      <c r="L384" s="57"/>
      <c r="M384" s="67"/>
    </row>
    <row r="385" spans="1:13" ht="13.2">
      <c r="A385" s="441">
        <v>4</v>
      </c>
      <c r="B385" s="443"/>
      <c r="C385" s="447"/>
      <c r="D385" s="997"/>
      <c r="E385" s="443" t="s">
        <v>683</v>
      </c>
      <c r="F385" s="448" t="s">
        <v>681</v>
      </c>
      <c r="G385" s="449" t="s">
        <v>19</v>
      </c>
      <c r="H385" s="450">
        <v>16.2</v>
      </c>
      <c r="I385" s="309" t="s">
        <v>49</v>
      </c>
      <c r="J385" s="163" t="s">
        <v>2082</v>
      </c>
      <c r="K385" s="163"/>
      <c r="L385" s="57"/>
      <c r="M385" s="67"/>
    </row>
    <row r="386" spans="1:13" ht="13.2">
      <c r="A386" s="380">
        <v>4</v>
      </c>
      <c r="B386" s="443"/>
      <c r="C386" s="447"/>
      <c r="D386" s="997"/>
      <c r="E386" s="443" t="s">
        <v>671</v>
      </c>
      <c r="F386" s="448" t="s">
        <v>681</v>
      </c>
      <c r="G386" s="449" t="s">
        <v>19</v>
      </c>
      <c r="H386" s="450">
        <v>90</v>
      </c>
      <c r="I386" s="309" t="s">
        <v>49</v>
      </c>
      <c r="J386" s="163" t="s">
        <v>2080</v>
      </c>
      <c r="K386" s="163"/>
      <c r="L386" s="57"/>
      <c r="M386" s="67"/>
    </row>
    <row r="387" spans="1:13" ht="13.2">
      <c r="A387" s="441">
        <v>4</v>
      </c>
      <c r="B387" s="443"/>
      <c r="C387" s="447"/>
      <c r="D387" s="998"/>
      <c r="E387" s="443"/>
      <c r="F387" s="448" t="s">
        <v>681</v>
      </c>
      <c r="G387" s="314" t="s">
        <v>257</v>
      </c>
      <c r="H387" s="220">
        <f>SUM(H384:H386)</f>
        <v>108.2</v>
      </c>
      <c r="I387" s="309"/>
      <c r="J387" s="157"/>
      <c r="K387" s="163"/>
      <c r="L387" s="57"/>
      <c r="M387" s="67"/>
    </row>
    <row r="388" spans="1:13" ht="30.6">
      <c r="A388" s="380">
        <v>4</v>
      </c>
      <c r="B388" s="443"/>
      <c r="C388" s="462" t="s">
        <v>684</v>
      </c>
      <c r="D388" s="463" t="s">
        <v>685</v>
      </c>
      <c r="E388" s="443" t="s">
        <v>683</v>
      </c>
      <c r="F388" s="449" t="s">
        <v>686</v>
      </c>
      <c r="G388" s="449" t="s">
        <v>19</v>
      </c>
      <c r="H388" s="450">
        <v>118.2</v>
      </c>
      <c r="I388" s="309" t="s">
        <v>198</v>
      </c>
      <c r="J388" s="163" t="s">
        <v>2082</v>
      </c>
      <c r="K388" s="163"/>
      <c r="L388" s="57"/>
      <c r="M388" s="67" t="s">
        <v>185</v>
      </c>
    </row>
    <row r="389" spans="1:13" ht="13.2">
      <c r="A389" s="441">
        <v>4</v>
      </c>
      <c r="B389" s="443"/>
      <c r="C389" s="462"/>
      <c r="D389" s="464"/>
      <c r="E389" s="443" t="s">
        <v>682</v>
      </c>
      <c r="F389" s="449" t="s">
        <v>686</v>
      </c>
      <c r="G389" s="449" t="s">
        <v>19</v>
      </c>
      <c r="H389" s="450">
        <v>25</v>
      </c>
      <c r="I389" s="309"/>
      <c r="J389" s="163" t="s">
        <v>2081</v>
      </c>
      <c r="K389" s="163"/>
      <c r="L389" s="57"/>
      <c r="M389" s="67" t="s">
        <v>192</v>
      </c>
    </row>
    <row r="390" spans="1:13" ht="13.2">
      <c r="A390" s="441">
        <v>4</v>
      </c>
      <c r="B390" s="443"/>
      <c r="C390" s="465"/>
      <c r="D390" s="466"/>
      <c r="E390" s="467" t="s">
        <v>671</v>
      </c>
      <c r="F390" s="449" t="s">
        <v>686</v>
      </c>
      <c r="G390" s="441" t="s">
        <v>19</v>
      </c>
      <c r="H390" s="450">
        <v>200</v>
      </c>
      <c r="I390" s="309"/>
      <c r="J390" s="163" t="s">
        <v>2080</v>
      </c>
      <c r="K390" s="163"/>
      <c r="L390" s="57"/>
      <c r="M390" s="67" t="s">
        <v>67</v>
      </c>
    </row>
    <row r="391" spans="1:13" ht="13.2">
      <c r="A391" s="380">
        <v>4</v>
      </c>
      <c r="B391" s="443"/>
      <c r="C391" s="462"/>
      <c r="D391" s="468"/>
      <c r="E391" s="443" t="s">
        <v>646</v>
      </c>
      <c r="F391" s="449" t="s">
        <v>686</v>
      </c>
      <c r="G391" s="449" t="s">
        <v>19</v>
      </c>
      <c r="H391" s="450">
        <v>6.5</v>
      </c>
      <c r="I391" s="309"/>
      <c r="J391" s="163" t="s">
        <v>665</v>
      </c>
      <c r="K391" s="163" t="s">
        <v>2078</v>
      </c>
      <c r="L391" s="57">
        <v>100</v>
      </c>
      <c r="M391" s="67" t="s">
        <v>67</v>
      </c>
    </row>
    <row r="392" spans="1:13" ht="13.2">
      <c r="A392" s="441">
        <v>4</v>
      </c>
      <c r="B392" s="443"/>
      <c r="C392" s="462"/>
      <c r="D392" s="464"/>
      <c r="E392" s="447"/>
      <c r="F392" s="449" t="s">
        <v>686</v>
      </c>
      <c r="G392" s="314" t="s">
        <v>257</v>
      </c>
      <c r="H392" s="220">
        <f>SUM(H388:H391)</f>
        <v>349.7</v>
      </c>
      <c r="I392" s="309"/>
      <c r="J392" s="157"/>
      <c r="K392" s="163"/>
      <c r="L392" s="57"/>
      <c r="M392" s="67"/>
    </row>
    <row r="393" spans="1:13" ht="19.2" customHeight="1">
      <c r="A393" s="380">
        <v>4</v>
      </c>
      <c r="B393" s="443"/>
      <c r="C393" s="443" t="s">
        <v>687</v>
      </c>
      <c r="D393" s="444" t="s">
        <v>688</v>
      </c>
      <c r="E393" s="443" t="s">
        <v>671</v>
      </c>
      <c r="F393" s="449" t="s">
        <v>689</v>
      </c>
      <c r="G393" s="441" t="s">
        <v>19</v>
      </c>
      <c r="H393" s="450">
        <v>60</v>
      </c>
      <c r="I393" s="309" t="s">
        <v>64</v>
      </c>
      <c r="J393" s="157"/>
      <c r="K393" s="163"/>
      <c r="L393" s="57"/>
      <c r="M393" s="67"/>
    </row>
    <row r="394" spans="1:13" ht="13.2">
      <c r="A394" s="441">
        <v>4</v>
      </c>
      <c r="B394" s="443"/>
      <c r="C394" s="443"/>
      <c r="D394" s="444"/>
      <c r="E394" s="443"/>
      <c r="F394" s="449"/>
      <c r="G394" s="314" t="s">
        <v>257</v>
      </c>
      <c r="H394" s="220">
        <f>SUM(H393:H393)</f>
        <v>60</v>
      </c>
      <c r="I394" s="309"/>
      <c r="J394" s="157"/>
      <c r="K394" s="163"/>
      <c r="L394" s="57"/>
      <c r="M394" s="67"/>
    </row>
    <row r="395" spans="1:13" ht="20.399999999999999">
      <c r="A395" s="441">
        <v>4</v>
      </c>
      <c r="B395" s="386"/>
      <c r="C395" s="443" t="s">
        <v>690</v>
      </c>
      <c r="D395" s="471" t="s">
        <v>691</v>
      </c>
      <c r="E395" s="443" t="s">
        <v>646</v>
      </c>
      <c r="F395" s="449" t="s">
        <v>692</v>
      </c>
      <c r="G395" s="453" t="s">
        <v>56</v>
      </c>
      <c r="H395" s="450">
        <v>28.8</v>
      </c>
      <c r="I395" s="309" t="s">
        <v>182</v>
      </c>
      <c r="J395" s="913" t="s">
        <v>693</v>
      </c>
      <c r="K395" s="912" t="s">
        <v>694</v>
      </c>
      <c r="L395" s="914">
        <v>20</v>
      </c>
      <c r="M395" s="67"/>
    </row>
    <row r="396" spans="1:13" ht="13.2">
      <c r="A396" s="380">
        <v>4</v>
      </c>
      <c r="B396" s="386"/>
      <c r="C396" s="443"/>
      <c r="D396" s="471"/>
      <c r="E396" s="443" t="s">
        <v>646</v>
      </c>
      <c r="F396" s="449" t="s">
        <v>692</v>
      </c>
      <c r="G396" s="453" t="s">
        <v>59</v>
      </c>
      <c r="H396" s="450">
        <v>5.0999999999999996</v>
      </c>
      <c r="I396" s="309"/>
      <c r="J396" s="157"/>
      <c r="K396" s="163"/>
      <c r="L396" s="57"/>
      <c r="M396" s="67"/>
    </row>
    <row r="397" spans="1:13" ht="13.2">
      <c r="A397" s="441">
        <v>4</v>
      </c>
      <c r="B397" s="386"/>
      <c r="C397" s="443"/>
      <c r="D397" s="471"/>
      <c r="E397" s="443" t="s">
        <v>671</v>
      </c>
      <c r="F397" s="449" t="s">
        <v>692</v>
      </c>
      <c r="G397" s="453" t="s">
        <v>56</v>
      </c>
      <c r="H397" s="450">
        <f>2337.8-782.2</f>
        <v>1555.6000000000001</v>
      </c>
      <c r="I397" s="309"/>
      <c r="J397" s="157"/>
      <c r="K397" s="163"/>
      <c r="L397" s="57"/>
      <c r="M397" s="67"/>
    </row>
    <row r="398" spans="1:13" ht="13.2">
      <c r="A398" s="441">
        <v>4</v>
      </c>
      <c r="B398" s="386"/>
      <c r="C398" s="443"/>
      <c r="D398" s="471"/>
      <c r="E398" s="443" t="s">
        <v>671</v>
      </c>
      <c r="F398" s="449" t="s">
        <v>692</v>
      </c>
      <c r="G398" s="453" t="s">
        <v>59</v>
      </c>
      <c r="H398" s="450">
        <f>412.6-138</f>
        <v>274.60000000000002</v>
      </c>
      <c r="I398" s="309"/>
      <c r="J398" s="157"/>
      <c r="K398" s="163"/>
      <c r="L398" s="57"/>
      <c r="M398" s="67"/>
    </row>
    <row r="399" spans="1:13" ht="13.2">
      <c r="A399" s="380">
        <v>4</v>
      </c>
      <c r="B399" s="386"/>
      <c r="C399" s="443"/>
      <c r="D399" s="471"/>
      <c r="E399" s="443" t="s">
        <v>671</v>
      </c>
      <c r="F399" s="449" t="s">
        <v>692</v>
      </c>
      <c r="G399" s="453" t="s">
        <v>19</v>
      </c>
      <c r="H399" s="450">
        <f>398+261-100-559</f>
        <v>0</v>
      </c>
      <c r="I399" s="309" t="s">
        <v>182</v>
      </c>
      <c r="J399" s="157"/>
      <c r="K399" s="163"/>
      <c r="L399" s="57"/>
      <c r="M399" s="67"/>
    </row>
    <row r="400" spans="1:13" ht="13.2">
      <c r="A400" s="441">
        <v>4</v>
      </c>
      <c r="B400" s="386"/>
      <c r="C400" s="443"/>
      <c r="D400" s="471"/>
      <c r="E400" s="472" t="s">
        <v>646</v>
      </c>
      <c r="F400" s="449" t="s">
        <v>692</v>
      </c>
      <c r="G400" s="453" t="s">
        <v>177</v>
      </c>
      <c r="H400" s="450">
        <f>559-100</f>
        <v>459</v>
      </c>
      <c r="I400" s="309"/>
      <c r="J400" s="157"/>
      <c r="K400" s="163"/>
      <c r="L400" s="57"/>
      <c r="M400" s="67"/>
    </row>
    <row r="401" spans="1:13" ht="13.2">
      <c r="A401" s="441">
        <v>4</v>
      </c>
      <c r="B401" s="386"/>
      <c r="C401" s="443"/>
      <c r="D401" s="471"/>
      <c r="E401" s="443" t="s">
        <v>695</v>
      </c>
      <c r="F401" s="449" t="s">
        <v>692</v>
      </c>
      <c r="G401" s="453" t="s">
        <v>56</v>
      </c>
      <c r="H401" s="450">
        <v>172.4</v>
      </c>
      <c r="I401" s="309" t="s">
        <v>182</v>
      </c>
      <c r="J401" s="157"/>
      <c r="K401" s="163"/>
      <c r="L401" s="57"/>
      <c r="M401" s="67"/>
    </row>
    <row r="402" spans="1:13" ht="13.2">
      <c r="A402" s="380">
        <v>4</v>
      </c>
      <c r="B402" s="386"/>
      <c r="C402" s="443"/>
      <c r="D402" s="471"/>
      <c r="E402" s="443" t="s">
        <v>695</v>
      </c>
      <c r="F402" s="449" t="s">
        <v>692</v>
      </c>
      <c r="G402" s="453" t="s">
        <v>59</v>
      </c>
      <c r="H402" s="450">
        <v>30.5</v>
      </c>
      <c r="I402" s="309"/>
      <c r="J402" s="157"/>
      <c r="K402" s="163"/>
      <c r="L402" s="57"/>
      <c r="M402" s="67"/>
    </row>
    <row r="403" spans="1:13" ht="13.2">
      <c r="A403" s="441">
        <v>4</v>
      </c>
      <c r="B403" s="386"/>
      <c r="C403" s="443"/>
      <c r="D403" s="471"/>
      <c r="E403" s="443" t="s">
        <v>682</v>
      </c>
      <c r="F403" s="449" t="s">
        <v>692</v>
      </c>
      <c r="G403" s="453" t="s">
        <v>19</v>
      </c>
      <c r="H403" s="450">
        <v>65.7</v>
      </c>
      <c r="I403" s="309" t="s">
        <v>182</v>
      </c>
      <c r="J403" s="157"/>
      <c r="K403" s="163"/>
      <c r="L403" s="57"/>
      <c r="M403" s="67"/>
    </row>
    <row r="404" spans="1:13" ht="13.2">
      <c r="A404" s="441">
        <v>4</v>
      </c>
      <c r="B404" s="386"/>
      <c r="C404" s="443"/>
      <c r="D404" s="471"/>
      <c r="E404" s="472" t="s">
        <v>696</v>
      </c>
      <c r="F404" s="449" t="s">
        <v>692</v>
      </c>
      <c r="G404" s="453" t="s">
        <v>56</v>
      </c>
      <c r="H404" s="450">
        <v>114.5</v>
      </c>
      <c r="I404" s="309" t="s">
        <v>182</v>
      </c>
      <c r="J404" s="157"/>
      <c r="K404" s="163"/>
      <c r="L404" s="57"/>
      <c r="M404" s="67"/>
    </row>
    <row r="405" spans="1:13" ht="13.2">
      <c r="A405" s="380">
        <v>4</v>
      </c>
      <c r="B405" s="386"/>
      <c r="C405" s="443"/>
      <c r="D405" s="471"/>
      <c r="E405" s="472" t="s">
        <v>696</v>
      </c>
      <c r="F405" s="449" t="s">
        <v>692</v>
      </c>
      <c r="G405" s="453" t="s">
        <v>59</v>
      </c>
      <c r="H405" s="450">
        <v>20.2</v>
      </c>
      <c r="I405" s="309"/>
      <c r="J405" s="157"/>
      <c r="K405" s="163"/>
      <c r="L405" s="57"/>
      <c r="M405" s="67"/>
    </row>
    <row r="406" spans="1:13" ht="13.2">
      <c r="A406" s="441">
        <v>4</v>
      </c>
      <c r="B406" s="386"/>
      <c r="C406" s="443"/>
      <c r="D406" s="471"/>
      <c r="E406" s="472"/>
      <c r="F406" s="449"/>
      <c r="G406" s="314" t="s">
        <v>257</v>
      </c>
      <c r="H406" s="220">
        <f>SUM(H395:H405)</f>
        <v>2726.4</v>
      </c>
      <c r="I406" s="309" t="s">
        <v>182</v>
      </c>
      <c r="J406" s="157"/>
      <c r="K406" s="163"/>
      <c r="L406" s="57"/>
      <c r="M406" s="67"/>
    </row>
    <row r="407" spans="1:13" ht="21">
      <c r="A407" s="441">
        <v>4</v>
      </c>
      <c r="B407" s="386"/>
      <c r="C407" s="443" t="s">
        <v>697</v>
      </c>
      <c r="D407" s="475" t="s">
        <v>698</v>
      </c>
      <c r="E407" s="443" t="s">
        <v>646</v>
      </c>
      <c r="F407" s="449" t="s">
        <v>699</v>
      </c>
      <c r="G407" s="377" t="s">
        <v>19</v>
      </c>
      <c r="H407" s="473">
        <v>29.1</v>
      </c>
      <c r="I407" s="309" t="s">
        <v>58</v>
      </c>
      <c r="J407" s="913" t="s">
        <v>650</v>
      </c>
      <c r="K407" s="919" t="s">
        <v>700</v>
      </c>
      <c r="L407" s="920">
        <v>15</v>
      </c>
      <c r="M407" s="70" t="s">
        <v>67</v>
      </c>
    </row>
    <row r="408" spans="1:13" ht="13.2">
      <c r="A408" s="441">
        <v>4</v>
      </c>
      <c r="B408" s="386"/>
      <c r="C408" s="443"/>
      <c r="D408" s="471"/>
      <c r="E408" s="443" t="s">
        <v>646</v>
      </c>
      <c r="F408" s="449" t="s">
        <v>699</v>
      </c>
      <c r="G408" s="377" t="s">
        <v>56</v>
      </c>
      <c r="H408" s="473">
        <v>165</v>
      </c>
      <c r="I408" s="309"/>
      <c r="J408" s="157"/>
      <c r="K408" s="163"/>
      <c r="L408" s="57"/>
      <c r="M408" s="67"/>
    </row>
    <row r="409" spans="1:13" ht="13.2">
      <c r="A409" s="380">
        <v>4</v>
      </c>
      <c r="B409" s="386"/>
      <c r="C409" s="443"/>
      <c r="D409" s="471"/>
      <c r="E409" s="443"/>
      <c r="F409" s="474"/>
      <c r="G409" s="476" t="s">
        <v>257</v>
      </c>
      <c r="H409" s="477">
        <f>SUM(H407:H408)</f>
        <v>194.1</v>
      </c>
      <c r="I409" s="309"/>
      <c r="J409" s="157"/>
      <c r="K409" s="163"/>
      <c r="L409" s="57"/>
      <c r="M409" s="67"/>
    </row>
    <row r="410" spans="1:13" ht="31.2">
      <c r="A410" s="441">
        <v>4</v>
      </c>
      <c r="B410" s="386"/>
      <c r="C410" s="443" t="s">
        <v>701</v>
      </c>
      <c r="D410" s="478" t="s">
        <v>702</v>
      </c>
      <c r="E410" s="443" t="s">
        <v>646</v>
      </c>
      <c r="F410" s="449" t="s">
        <v>703</v>
      </c>
      <c r="G410" s="377" t="s">
        <v>56</v>
      </c>
      <c r="H410" s="473">
        <v>154.30000000000001</v>
      </c>
      <c r="I410" s="309" t="s">
        <v>58</v>
      </c>
      <c r="J410" s="913" t="s">
        <v>650</v>
      </c>
      <c r="K410" s="921" t="s">
        <v>704</v>
      </c>
      <c r="L410" s="920">
        <v>1</v>
      </c>
      <c r="M410" s="67"/>
    </row>
    <row r="411" spans="1:13" ht="13.2">
      <c r="A411" s="441">
        <v>4</v>
      </c>
      <c r="B411" s="386"/>
      <c r="C411" s="443"/>
      <c r="D411" s="471"/>
      <c r="E411" s="443" t="s">
        <v>646</v>
      </c>
      <c r="F411" s="449" t="s">
        <v>703</v>
      </c>
      <c r="G411" s="479" t="s">
        <v>59</v>
      </c>
      <c r="H411" s="473">
        <v>27.3</v>
      </c>
      <c r="I411" s="309"/>
      <c r="J411" s="157"/>
      <c r="K411" s="163"/>
      <c r="L411" s="57"/>
      <c r="M411" s="67"/>
    </row>
    <row r="412" spans="1:13" ht="12.75" customHeight="1">
      <c r="A412" s="380">
        <v>4</v>
      </c>
      <c r="B412" s="386"/>
      <c r="C412" s="443"/>
      <c r="D412" s="471"/>
      <c r="E412" s="443"/>
      <c r="F412" s="474"/>
      <c r="G412" s="480" t="s">
        <v>257</v>
      </c>
      <c r="H412" s="267">
        <f>SUM(H410:H411)</f>
        <v>181.60000000000002</v>
      </c>
      <c r="I412" s="309"/>
      <c r="J412" s="157"/>
      <c r="K412" s="163"/>
      <c r="L412" s="57"/>
      <c r="M412" s="67"/>
    </row>
    <row r="413" spans="1:13" ht="12.75" hidden="1" customHeight="1">
      <c r="A413" s="441">
        <v>4</v>
      </c>
      <c r="B413" s="386"/>
      <c r="C413" s="443"/>
      <c r="D413" s="471"/>
      <c r="E413" s="443"/>
      <c r="F413" s="474"/>
      <c r="G413" s="481" t="s">
        <v>257</v>
      </c>
      <c r="H413" s="481">
        <f>SUM(H367,H371,H381,H383,H387,H392,H409,H406,H394,H374,H376,H412,H378)</f>
        <v>4350.3</v>
      </c>
      <c r="I413" s="313"/>
      <c r="J413" s="157"/>
      <c r="K413" s="163"/>
      <c r="L413" s="57"/>
      <c r="M413" s="67"/>
    </row>
    <row r="414" spans="1:13" ht="12.75" hidden="1" customHeight="1">
      <c r="A414" s="441">
        <v>4</v>
      </c>
      <c r="B414" s="386"/>
      <c r="C414" s="443"/>
      <c r="D414" s="471"/>
      <c r="E414" s="443"/>
      <c r="F414" s="474"/>
      <c r="G414" s="482" t="s">
        <v>19</v>
      </c>
      <c r="H414" s="951">
        <f>SUM(H366,H380,H382,H384,H385,H386,H388,H393,H399,H403,H407,H375,H369,H390,H391,H389,H377)</f>
        <v>984.7</v>
      </c>
      <c r="I414" s="309"/>
      <c r="J414" s="157"/>
      <c r="K414" s="163"/>
      <c r="L414" s="57"/>
      <c r="M414" s="67"/>
    </row>
    <row r="415" spans="1:13" ht="12.75" hidden="1" customHeight="1">
      <c r="A415" s="380">
        <v>4</v>
      </c>
      <c r="B415" s="386"/>
      <c r="C415" s="443"/>
      <c r="D415" s="471"/>
      <c r="E415" s="443"/>
      <c r="F415" s="474"/>
      <c r="G415" s="483" t="s">
        <v>21</v>
      </c>
      <c r="H415" s="953"/>
      <c r="I415" s="309"/>
      <c r="J415" s="157"/>
      <c r="K415" s="163"/>
      <c r="L415" s="57"/>
      <c r="M415" s="67"/>
    </row>
    <row r="416" spans="1:13" ht="12.75" hidden="1" customHeight="1">
      <c r="A416" s="441">
        <v>4</v>
      </c>
      <c r="B416" s="386"/>
      <c r="C416" s="443"/>
      <c r="D416" s="471"/>
      <c r="E416" s="443"/>
      <c r="F416" s="474"/>
      <c r="G416" s="210" t="s">
        <v>278</v>
      </c>
      <c r="H416" s="951"/>
      <c r="I416" s="309"/>
      <c r="J416" s="157"/>
      <c r="K416" s="163"/>
      <c r="L416" s="57"/>
      <c r="M416" s="67"/>
    </row>
    <row r="417" spans="1:13" ht="12.75" hidden="1" customHeight="1">
      <c r="A417" s="441">
        <v>4</v>
      </c>
      <c r="B417" s="386"/>
      <c r="C417" s="443"/>
      <c r="D417" s="471"/>
      <c r="E417" s="443"/>
      <c r="F417" s="474"/>
      <c r="G417" s="483" t="s">
        <v>510</v>
      </c>
      <c r="H417" s="953">
        <f>SUM(H368)</f>
        <v>117.5</v>
      </c>
      <c r="I417" s="309"/>
      <c r="J417" s="157"/>
      <c r="K417" s="163"/>
      <c r="L417" s="57"/>
      <c r="M417" s="67"/>
    </row>
    <row r="418" spans="1:13" ht="12.75" hidden="1" customHeight="1">
      <c r="A418" s="380">
        <v>4</v>
      </c>
      <c r="B418" s="386"/>
      <c r="C418" s="443"/>
      <c r="D418" s="471"/>
      <c r="E418" s="443"/>
      <c r="F418" s="474"/>
      <c r="G418" s="483" t="s">
        <v>513</v>
      </c>
      <c r="H418" s="953">
        <f>H370</f>
        <v>34.6</v>
      </c>
      <c r="I418" s="309"/>
      <c r="J418" s="157"/>
      <c r="K418" s="163"/>
      <c r="L418" s="57"/>
      <c r="M418" s="67"/>
    </row>
    <row r="419" spans="1:13" ht="12.75" hidden="1" customHeight="1">
      <c r="A419" s="441">
        <v>4</v>
      </c>
      <c r="B419" s="386"/>
      <c r="C419" s="443"/>
      <c r="D419" s="471"/>
      <c r="E419" s="443"/>
      <c r="F419" s="474"/>
      <c r="G419" s="483" t="s">
        <v>22</v>
      </c>
      <c r="H419" s="953"/>
      <c r="I419" s="309"/>
      <c r="J419" s="157"/>
      <c r="K419" s="163"/>
      <c r="L419" s="57"/>
      <c r="M419" s="67"/>
    </row>
    <row r="420" spans="1:13" ht="12.75" hidden="1" customHeight="1">
      <c r="A420" s="441">
        <v>4</v>
      </c>
      <c r="B420" s="443"/>
      <c r="C420" s="443"/>
      <c r="D420" s="452"/>
      <c r="E420" s="443"/>
      <c r="F420" s="449"/>
      <c r="G420" s="380" t="s">
        <v>642</v>
      </c>
      <c r="H420" s="953"/>
      <c r="I420" s="309"/>
      <c r="J420" s="157"/>
      <c r="K420" s="163"/>
      <c r="L420" s="57"/>
      <c r="M420" s="67"/>
    </row>
    <row r="421" spans="1:13" ht="12.75" hidden="1" customHeight="1">
      <c r="A421" s="380">
        <v>4</v>
      </c>
      <c r="B421" s="443"/>
      <c r="C421" s="443"/>
      <c r="D421" s="452"/>
      <c r="E421" s="443"/>
      <c r="F421" s="449"/>
      <c r="G421" s="210" t="s">
        <v>59</v>
      </c>
      <c r="H421" s="953">
        <f>H411+H373+H405+H402+H398+H396</f>
        <v>388.70000000000005</v>
      </c>
      <c r="I421" s="309"/>
      <c r="J421" s="157"/>
      <c r="K421" s="163"/>
      <c r="L421" s="57"/>
      <c r="M421" s="67"/>
    </row>
    <row r="422" spans="1:13" ht="12.75" hidden="1" customHeight="1">
      <c r="A422" s="441">
        <v>4</v>
      </c>
      <c r="B422" s="443"/>
      <c r="C422" s="443"/>
      <c r="D422" s="452"/>
      <c r="E422" s="443"/>
      <c r="F422" s="449"/>
      <c r="G422" s="210" t="s">
        <v>56</v>
      </c>
      <c r="H422" s="953">
        <f>SUM(H404,H401,H395,H372,H408,H410,H397)</f>
        <v>2365.8000000000002</v>
      </c>
      <c r="I422" s="309"/>
      <c r="J422" s="157"/>
      <c r="K422" s="163"/>
      <c r="L422" s="57"/>
      <c r="M422" s="67"/>
    </row>
    <row r="423" spans="1:13" ht="12.75" hidden="1" customHeight="1">
      <c r="A423" s="380">
        <v>4</v>
      </c>
      <c r="B423" s="443"/>
      <c r="C423" s="443"/>
      <c r="D423" s="452"/>
      <c r="E423" s="443"/>
      <c r="F423" s="449"/>
      <c r="G423" s="210" t="s">
        <v>259</v>
      </c>
      <c r="H423" s="953"/>
      <c r="I423" s="309"/>
      <c r="J423" s="157"/>
      <c r="K423" s="163"/>
      <c r="L423" s="57"/>
      <c r="M423" s="67"/>
    </row>
    <row r="424" spans="1:13" ht="12.75" hidden="1" customHeight="1">
      <c r="A424" s="441">
        <v>4</v>
      </c>
      <c r="B424" s="443"/>
      <c r="C424" s="443"/>
      <c r="D424" s="452"/>
      <c r="E424" s="443"/>
      <c r="F424" s="449"/>
      <c r="G424" s="210" t="s">
        <v>178</v>
      </c>
      <c r="H424" s="953"/>
      <c r="I424" s="309"/>
      <c r="J424" s="157"/>
      <c r="K424" s="163"/>
      <c r="L424" s="57"/>
      <c r="M424" s="67"/>
    </row>
    <row r="425" spans="1:13" ht="12.75" hidden="1" customHeight="1">
      <c r="A425" s="380">
        <v>4</v>
      </c>
      <c r="B425" s="443"/>
      <c r="C425" s="443"/>
      <c r="D425" s="452"/>
      <c r="E425" s="443"/>
      <c r="F425" s="449"/>
      <c r="G425" s="210" t="s">
        <v>177</v>
      </c>
      <c r="H425" s="211">
        <f>H400</f>
        <v>459</v>
      </c>
      <c r="I425" s="309"/>
      <c r="J425" s="157"/>
      <c r="K425" s="163"/>
      <c r="L425" s="57"/>
      <c r="M425" s="67"/>
    </row>
    <row r="426" spans="1:13" ht="12.75" hidden="1" customHeight="1">
      <c r="A426" s="441">
        <v>4</v>
      </c>
      <c r="B426" s="443"/>
      <c r="C426" s="443"/>
      <c r="D426" s="452"/>
      <c r="E426" s="443"/>
      <c r="F426" s="449"/>
      <c r="G426" s="301" t="s">
        <v>257</v>
      </c>
      <c r="H426" s="301">
        <f>SUM(H414:H425)</f>
        <v>4350.3</v>
      </c>
      <c r="I426" s="309"/>
      <c r="J426" s="157"/>
      <c r="K426" s="163"/>
      <c r="L426" s="57"/>
      <c r="M426" s="67"/>
    </row>
    <row r="427" spans="1:13" ht="12.75" hidden="1" customHeight="1">
      <c r="A427" s="441">
        <v>4</v>
      </c>
      <c r="B427" s="443"/>
      <c r="C427" s="443"/>
      <c r="D427" s="452"/>
      <c r="E427" s="443"/>
      <c r="F427" s="449"/>
      <c r="G427" s="384"/>
      <c r="H427" s="211">
        <f>H413-H426</f>
        <v>0</v>
      </c>
      <c r="I427" s="309"/>
      <c r="J427" s="157"/>
      <c r="K427" s="163"/>
      <c r="L427" s="57"/>
      <c r="M427" s="67"/>
    </row>
    <row r="428" spans="1:13" ht="12.75" customHeight="1">
      <c r="A428" s="946"/>
      <c r="B428" s="946"/>
      <c r="C428" s="946"/>
      <c r="D428" s="946" t="s">
        <v>2091</v>
      </c>
      <c r="E428" s="947"/>
      <c r="F428" s="946"/>
      <c r="G428" s="946"/>
      <c r="H428" s="946"/>
      <c r="I428" s="946"/>
      <c r="J428" s="946"/>
      <c r="K428" s="946"/>
      <c r="L428" s="946"/>
      <c r="M428" s="948"/>
    </row>
    <row r="429" spans="1:13" ht="20.399999999999999">
      <c r="A429" s="380">
        <v>5</v>
      </c>
      <c r="B429" s="484"/>
      <c r="C429" s="484"/>
      <c r="D429" s="306" t="s">
        <v>705</v>
      </c>
      <c r="E429" s="307"/>
      <c r="F429" s="308"/>
      <c r="G429" s="307"/>
      <c r="H429" s="307"/>
      <c r="I429" s="309"/>
      <c r="J429" s="157"/>
      <c r="K429" s="163"/>
      <c r="L429" s="57"/>
      <c r="M429" s="66"/>
    </row>
    <row r="430" spans="1:13" ht="20.399999999999999">
      <c r="A430" s="210">
        <v>5</v>
      </c>
      <c r="B430" s="485" t="s">
        <v>706</v>
      </c>
      <c r="C430" s="485" t="s">
        <v>706</v>
      </c>
      <c r="D430" s="486" t="s">
        <v>707</v>
      </c>
      <c r="E430" s="274"/>
      <c r="F430" s="210"/>
      <c r="G430" s="207"/>
      <c r="H430" s="207">
        <f>SUM(H433,H435,H440,H445,H449,H451,H437)</f>
        <v>39258.100000000006</v>
      </c>
      <c r="I430" s="309"/>
      <c r="J430" s="157"/>
      <c r="K430" s="163"/>
      <c r="L430" s="57"/>
      <c r="M430" s="55"/>
    </row>
    <row r="431" spans="1:13" ht="13.2">
      <c r="A431" s="210">
        <v>5</v>
      </c>
      <c r="B431" s="215"/>
      <c r="C431" s="215" t="s">
        <v>708</v>
      </c>
      <c r="D431" s="209" t="s">
        <v>709</v>
      </c>
      <c r="E431" s="210">
        <v>7</v>
      </c>
      <c r="F431" s="210" t="s">
        <v>710</v>
      </c>
      <c r="G431" s="210" t="s">
        <v>176</v>
      </c>
      <c r="H431" s="219">
        <v>27818.400000000001</v>
      </c>
      <c r="I431" s="309"/>
      <c r="J431" s="181" t="s">
        <v>711</v>
      </c>
      <c r="K431" s="181" t="s">
        <v>343</v>
      </c>
      <c r="L431" s="57">
        <v>100</v>
      </c>
      <c r="M431" s="71"/>
    </row>
    <row r="432" spans="1:13" ht="13.2">
      <c r="A432" s="210">
        <v>5</v>
      </c>
      <c r="B432" s="215"/>
      <c r="C432" s="215"/>
      <c r="D432" s="209"/>
      <c r="E432" s="210">
        <v>7</v>
      </c>
      <c r="F432" s="210" t="s">
        <v>710</v>
      </c>
      <c r="G432" s="210" t="s">
        <v>712</v>
      </c>
      <c r="H432" s="219">
        <v>150</v>
      </c>
      <c r="I432" s="309"/>
      <c r="J432" s="181" t="s">
        <v>713</v>
      </c>
      <c r="K432" s="181" t="s">
        <v>714</v>
      </c>
      <c r="L432" s="57">
        <v>10</v>
      </c>
      <c r="M432" s="71"/>
    </row>
    <row r="433" spans="1:13" ht="13.2">
      <c r="A433" s="210">
        <v>5</v>
      </c>
      <c r="B433" s="215"/>
      <c r="C433" s="215"/>
      <c r="D433" s="209"/>
      <c r="E433" s="210"/>
      <c r="F433" s="210" t="s">
        <v>710</v>
      </c>
      <c r="G433" s="314" t="s">
        <v>257</v>
      </c>
      <c r="H433" s="220">
        <f>SUM(H431:H432)</f>
        <v>27968.400000000001</v>
      </c>
      <c r="I433" s="309"/>
      <c r="J433" s="181"/>
      <c r="K433" s="181"/>
      <c r="L433" s="57"/>
      <c r="M433" s="71"/>
    </row>
    <row r="434" spans="1:13" ht="25.95" customHeight="1">
      <c r="A434" s="210">
        <v>5</v>
      </c>
      <c r="B434" s="215"/>
      <c r="C434" s="215" t="s">
        <v>715</v>
      </c>
      <c r="D434" s="209" t="s">
        <v>716</v>
      </c>
      <c r="E434" s="210">
        <v>7</v>
      </c>
      <c r="F434" s="210" t="s">
        <v>717</v>
      </c>
      <c r="G434" s="210" t="s">
        <v>19</v>
      </c>
      <c r="H434" s="219">
        <v>319</v>
      </c>
      <c r="I434" s="313" t="s">
        <v>64</v>
      </c>
      <c r="J434" s="922" t="s">
        <v>718</v>
      </c>
      <c r="K434" s="181" t="s">
        <v>719</v>
      </c>
      <c r="L434" s="57">
        <v>800</v>
      </c>
      <c r="M434" s="71"/>
    </row>
    <row r="435" spans="1:13" ht="20.399999999999999">
      <c r="A435" s="380">
        <v>5</v>
      </c>
      <c r="B435" s="215"/>
      <c r="C435" s="215"/>
      <c r="D435" s="209"/>
      <c r="E435" s="210"/>
      <c r="F435" s="210" t="s">
        <v>717</v>
      </c>
      <c r="G435" s="314" t="s">
        <v>257</v>
      </c>
      <c r="H435" s="220">
        <f>SUM(H434)</f>
        <v>319</v>
      </c>
      <c r="I435" s="309"/>
      <c r="J435" s="922" t="s">
        <v>718</v>
      </c>
      <c r="K435" s="181" t="s">
        <v>720</v>
      </c>
      <c r="L435" s="57">
        <v>25</v>
      </c>
      <c r="M435" s="71"/>
    </row>
    <row r="436" spans="1:13" ht="20.399999999999999">
      <c r="A436" s="210">
        <v>5</v>
      </c>
      <c r="B436" s="215"/>
      <c r="C436" s="215" t="s">
        <v>721</v>
      </c>
      <c r="D436" s="209" t="s">
        <v>722</v>
      </c>
      <c r="E436" s="210">
        <v>7</v>
      </c>
      <c r="F436" s="210" t="s">
        <v>723</v>
      </c>
      <c r="G436" s="210" t="s">
        <v>19</v>
      </c>
      <c r="H436" s="219">
        <v>240</v>
      </c>
      <c r="I436" s="309" t="s">
        <v>64</v>
      </c>
      <c r="J436" s="922" t="s">
        <v>718</v>
      </c>
      <c r="K436" s="181" t="s">
        <v>724</v>
      </c>
      <c r="L436" s="57">
        <v>85</v>
      </c>
      <c r="M436" s="71"/>
    </row>
    <row r="437" spans="1:13" ht="13.2">
      <c r="A437" s="210">
        <v>5</v>
      </c>
      <c r="B437" s="215"/>
      <c r="C437" s="215"/>
      <c r="D437" s="209"/>
      <c r="E437" s="210"/>
      <c r="F437" s="214"/>
      <c r="G437" s="314" t="s">
        <v>257</v>
      </c>
      <c r="H437" s="220">
        <f>SUM(H436)</f>
        <v>240</v>
      </c>
      <c r="I437" s="309"/>
      <c r="J437" s="181"/>
      <c r="K437" s="181"/>
      <c r="L437" s="57"/>
      <c r="M437" s="71"/>
    </row>
    <row r="438" spans="1:13" ht="30.6">
      <c r="A438" s="210">
        <v>5</v>
      </c>
      <c r="B438" s="215"/>
      <c r="C438" s="215" t="s">
        <v>725</v>
      </c>
      <c r="D438" s="225" t="s">
        <v>726</v>
      </c>
      <c r="E438" s="210">
        <v>7</v>
      </c>
      <c r="F438" s="210" t="s">
        <v>727</v>
      </c>
      <c r="G438" s="210" t="s">
        <v>176</v>
      </c>
      <c r="H438" s="219">
        <v>6703.8</v>
      </c>
      <c r="I438" s="309"/>
      <c r="J438" s="181" t="s">
        <v>728</v>
      </c>
      <c r="K438" s="181" t="s">
        <v>729</v>
      </c>
      <c r="L438" s="57">
        <v>100</v>
      </c>
      <c r="M438" s="71"/>
    </row>
    <row r="439" spans="1:13" ht="13.2">
      <c r="A439" s="210">
        <v>5</v>
      </c>
      <c r="B439" s="215"/>
      <c r="C439" s="215"/>
      <c r="D439" s="209"/>
      <c r="E439" s="210">
        <v>7</v>
      </c>
      <c r="F439" s="210" t="s">
        <v>727</v>
      </c>
      <c r="G439" s="210" t="s">
        <v>712</v>
      </c>
      <c r="H439" s="219"/>
      <c r="I439" s="309"/>
      <c r="J439" s="181" t="s">
        <v>728</v>
      </c>
      <c r="K439" s="181" t="s">
        <v>714</v>
      </c>
      <c r="L439" s="57">
        <v>10</v>
      </c>
      <c r="M439" s="71"/>
    </row>
    <row r="440" spans="1:13" ht="13.2">
      <c r="A440" s="210">
        <v>5</v>
      </c>
      <c r="B440" s="215"/>
      <c r="C440" s="215"/>
      <c r="D440" s="209"/>
      <c r="E440" s="210"/>
      <c r="F440" s="210" t="s">
        <v>727</v>
      </c>
      <c r="G440" s="314" t="s">
        <v>257</v>
      </c>
      <c r="H440" s="220">
        <f>SUM(H438:H439)</f>
        <v>6703.8</v>
      </c>
      <c r="I440" s="309"/>
      <c r="J440" s="181" t="s">
        <v>713</v>
      </c>
      <c r="K440" s="181"/>
      <c r="L440" s="57"/>
      <c r="M440" s="71"/>
    </row>
    <row r="441" spans="1:13" ht="40.799999999999997">
      <c r="A441" s="380">
        <v>5</v>
      </c>
      <c r="B441" s="215"/>
      <c r="C441" s="215" t="s">
        <v>730</v>
      </c>
      <c r="D441" s="209" t="s">
        <v>731</v>
      </c>
      <c r="E441" s="210">
        <v>7</v>
      </c>
      <c r="F441" s="210" t="s">
        <v>732</v>
      </c>
      <c r="G441" s="210" t="s">
        <v>21</v>
      </c>
      <c r="H441" s="219"/>
      <c r="I441" s="309"/>
      <c r="J441" s="181" t="s">
        <v>733</v>
      </c>
      <c r="K441" s="181" t="s">
        <v>734</v>
      </c>
      <c r="L441" s="57">
        <v>100</v>
      </c>
      <c r="M441" s="71"/>
    </row>
    <row r="442" spans="1:13" ht="22.2" customHeight="1">
      <c r="A442" s="210">
        <v>5</v>
      </c>
      <c r="B442" s="215"/>
      <c r="C442" s="215"/>
      <c r="D442" s="209"/>
      <c r="E442" s="210">
        <v>7</v>
      </c>
      <c r="F442" s="210" t="s">
        <v>732</v>
      </c>
      <c r="G442" s="210" t="s">
        <v>278</v>
      </c>
      <c r="H442" s="219">
        <v>403.8</v>
      </c>
      <c r="I442" s="309"/>
      <c r="J442" s="181" t="s">
        <v>735</v>
      </c>
      <c r="K442" s="181" t="s">
        <v>714</v>
      </c>
      <c r="L442" s="57">
        <v>10</v>
      </c>
      <c r="M442" s="71"/>
    </row>
    <row r="443" spans="1:13" ht="13.2">
      <c r="A443" s="210">
        <v>5</v>
      </c>
      <c r="B443" s="215"/>
      <c r="C443" s="215"/>
      <c r="D443" s="209"/>
      <c r="E443" s="210">
        <v>7</v>
      </c>
      <c r="F443" s="210" t="s">
        <v>732</v>
      </c>
      <c r="G443" s="210" t="s">
        <v>23</v>
      </c>
      <c r="H443" s="219"/>
      <c r="I443" s="309"/>
      <c r="J443" s="181" t="s">
        <v>736</v>
      </c>
      <c r="K443" s="181"/>
      <c r="L443" s="923"/>
      <c r="M443" s="71"/>
    </row>
    <row r="444" spans="1:13" ht="13.2">
      <c r="A444" s="210">
        <v>5</v>
      </c>
      <c r="B444" s="215"/>
      <c r="C444" s="215"/>
      <c r="D444" s="209"/>
      <c r="E444" s="210">
        <v>7</v>
      </c>
      <c r="F444" s="210" t="s">
        <v>732</v>
      </c>
      <c r="G444" s="210" t="s">
        <v>19</v>
      </c>
      <c r="H444" s="219">
        <f>2226.1-220</f>
        <v>2006.1</v>
      </c>
      <c r="I444" s="309" t="s">
        <v>49</v>
      </c>
      <c r="J444" s="181" t="s">
        <v>737</v>
      </c>
      <c r="K444" s="181"/>
      <c r="L444" s="923"/>
      <c r="M444" s="71"/>
    </row>
    <row r="445" spans="1:13" ht="20.399999999999999">
      <c r="A445" s="210">
        <v>5</v>
      </c>
      <c r="B445" s="215"/>
      <c r="C445" s="215"/>
      <c r="D445" s="209"/>
      <c r="E445" s="210"/>
      <c r="F445" s="210"/>
      <c r="G445" s="314" t="s">
        <v>257</v>
      </c>
      <c r="H445" s="220">
        <f>SUM(H441:H444)</f>
        <v>2409.9</v>
      </c>
      <c r="I445" s="309"/>
      <c r="J445" s="922" t="s">
        <v>718</v>
      </c>
      <c r="K445" s="181"/>
      <c r="L445" s="923"/>
      <c r="M445" s="71"/>
    </row>
    <row r="446" spans="1:13" ht="13.2">
      <c r="A446" s="210">
        <v>5</v>
      </c>
      <c r="B446" s="215"/>
      <c r="C446" s="215" t="s">
        <v>738</v>
      </c>
      <c r="D446" s="209" t="s">
        <v>739</v>
      </c>
      <c r="E446" s="210">
        <v>7</v>
      </c>
      <c r="F446" s="210" t="s">
        <v>740</v>
      </c>
      <c r="G446" s="210" t="s">
        <v>21</v>
      </c>
      <c r="H446" s="219"/>
      <c r="I446" s="309"/>
      <c r="J446" s="181"/>
      <c r="K446" s="181"/>
      <c r="L446" s="923"/>
      <c r="M446" s="71"/>
    </row>
    <row r="447" spans="1:13" ht="20.399999999999999">
      <c r="A447" s="380">
        <v>5</v>
      </c>
      <c r="B447" s="215"/>
      <c r="C447" s="215"/>
      <c r="D447" s="209"/>
      <c r="E447" s="210">
        <v>7</v>
      </c>
      <c r="F447" s="210" t="s">
        <v>740</v>
      </c>
      <c r="G447" s="210" t="s">
        <v>278</v>
      </c>
      <c r="H447" s="219">
        <v>1617</v>
      </c>
      <c r="I447" s="309"/>
      <c r="J447" s="922" t="s">
        <v>718</v>
      </c>
      <c r="K447" s="181" t="s">
        <v>724</v>
      </c>
      <c r="L447" s="57">
        <v>3000</v>
      </c>
      <c r="M447" s="71"/>
    </row>
    <row r="448" spans="1:13" ht="20.399999999999999">
      <c r="A448" s="210">
        <v>5</v>
      </c>
      <c r="B448" s="215"/>
      <c r="C448" s="215"/>
      <c r="D448" s="209"/>
      <c r="E448" s="210">
        <v>7</v>
      </c>
      <c r="F448" s="210" t="s">
        <v>740</v>
      </c>
      <c r="G448" s="210" t="s">
        <v>23</v>
      </c>
      <c r="H448" s="219"/>
      <c r="I448" s="309"/>
      <c r="J448" s="922" t="s">
        <v>718</v>
      </c>
      <c r="K448" s="181" t="s">
        <v>741</v>
      </c>
      <c r="L448" s="57">
        <v>12</v>
      </c>
      <c r="M448" s="71"/>
    </row>
    <row r="449" spans="1:13" ht="13.2">
      <c r="A449" s="210">
        <v>5</v>
      </c>
      <c r="B449" s="215"/>
      <c r="C449" s="215"/>
      <c r="D449" s="209"/>
      <c r="E449" s="210"/>
      <c r="F449" s="210" t="s">
        <v>742</v>
      </c>
      <c r="G449" s="314" t="s">
        <v>257</v>
      </c>
      <c r="H449" s="220">
        <f>SUM(H446:H448)</f>
        <v>1617</v>
      </c>
      <c r="I449" s="309"/>
      <c r="J449" s="181"/>
      <c r="K449" s="181"/>
      <c r="L449" s="57"/>
      <c r="M449" s="71"/>
    </row>
    <row r="450" spans="1:13" ht="40.799999999999997">
      <c r="A450" s="210">
        <v>5</v>
      </c>
      <c r="B450" s="215"/>
      <c r="C450" s="215" t="s">
        <v>743</v>
      </c>
      <c r="D450" s="209" t="s">
        <v>744</v>
      </c>
      <c r="E450" s="210">
        <v>7</v>
      </c>
      <c r="F450" s="210" t="s">
        <v>745</v>
      </c>
      <c r="G450" s="210" t="s">
        <v>23</v>
      </c>
      <c r="H450" s="219"/>
      <c r="I450" s="309"/>
      <c r="J450" s="181" t="s">
        <v>746</v>
      </c>
      <c r="K450" s="924" t="s">
        <v>724</v>
      </c>
      <c r="L450" s="57">
        <v>40</v>
      </c>
      <c r="M450" s="71"/>
    </row>
    <row r="451" spans="1:13" ht="13.2">
      <c r="A451" s="210">
        <v>5</v>
      </c>
      <c r="B451" s="215"/>
      <c r="C451" s="215"/>
      <c r="D451" s="209"/>
      <c r="E451" s="210">
        <v>7</v>
      </c>
      <c r="F451" s="210" t="s">
        <v>745</v>
      </c>
      <c r="G451" s="314" t="s">
        <v>257</v>
      </c>
      <c r="H451" s="220">
        <f>SUM(H450)</f>
        <v>0</v>
      </c>
      <c r="I451" s="309"/>
      <c r="J451" s="181"/>
      <c r="K451" s="181"/>
      <c r="L451" s="57"/>
      <c r="M451" s="71"/>
    </row>
    <row r="452" spans="1:13" ht="13.2">
      <c r="A452" s="210">
        <v>5</v>
      </c>
      <c r="B452" s="485" t="s">
        <v>747</v>
      </c>
      <c r="C452" s="485" t="s">
        <v>747</v>
      </c>
      <c r="D452" s="486" t="s">
        <v>748</v>
      </c>
      <c r="E452" s="274"/>
      <c r="F452" s="210"/>
      <c r="G452" s="487"/>
      <c r="H452" s="207">
        <f>SUM(H454,H457,H460,H463)</f>
        <v>181.7</v>
      </c>
      <c r="I452" s="309"/>
      <c r="J452" s="181"/>
      <c r="K452" s="181"/>
      <c r="L452" s="57"/>
      <c r="M452" s="71"/>
    </row>
    <row r="453" spans="1:13" ht="20.399999999999999">
      <c r="A453" s="380">
        <v>5</v>
      </c>
      <c r="B453" s="215"/>
      <c r="C453" s="215" t="s">
        <v>749</v>
      </c>
      <c r="D453" s="209" t="s">
        <v>750</v>
      </c>
      <c r="E453" s="210">
        <v>7</v>
      </c>
      <c r="F453" s="210" t="s">
        <v>751</v>
      </c>
      <c r="G453" s="210" t="s">
        <v>19</v>
      </c>
      <c r="H453" s="219">
        <v>12</v>
      </c>
      <c r="I453" s="313" t="s">
        <v>49</v>
      </c>
      <c r="J453" s="181" t="s">
        <v>746</v>
      </c>
      <c r="K453" s="924" t="s">
        <v>724</v>
      </c>
      <c r="L453" s="57">
        <v>2500</v>
      </c>
      <c r="M453" s="71"/>
    </row>
    <row r="454" spans="1:13" ht="13.2">
      <c r="A454" s="210">
        <v>5</v>
      </c>
      <c r="B454" s="215"/>
      <c r="C454" s="215"/>
      <c r="D454" s="209"/>
      <c r="E454" s="210"/>
      <c r="F454" s="210" t="s">
        <v>751</v>
      </c>
      <c r="G454" s="314" t="s">
        <v>257</v>
      </c>
      <c r="H454" s="220">
        <f>SUM(H453)</f>
        <v>12</v>
      </c>
      <c r="I454" s="309"/>
      <c r="J454" s="181"/>
      <c r="K454" s="68"/>
      <c r="L454" s="57"/>
      <c r="M454" s="71"/>
    </row>
    <row r="455" spans="1:13" ht="13.2">
      <c r="A455" s="210">
        <v>5</v>
      </c>
      <c r="B455" s="215"/>
      <c r="C455" s="215" t="s">
        <v>752</v>
      </c>
      <c r="D455" s="209" t="s">
        <v>753</v>
      </c>
      <c r="E455" s="210">
        <v>7</v>
      </c>
      <c r="F455" s="210" t="s">
        <v>754</v>
      </c>
      <c r="G455" s="210" t="s">
        <v>19</v>
      </c>
      <c r="H455" s="219">
        <v>32</v>
      </c>
      <c r="I455" s="309" t="s">
        <v>64</v>
      </c>
      <c r="J455" s="181" t="s">
        <v>755</v>
      </c>
      <c r="K455" s="181" t="s">
        <v>756</v>
      </c>
      <c r="L455" s="57">
        <v>37</v>
      </c>
      <c r="M455" s="71"/>
    </row>
    <row r="456" spans="1:13" ht="20.399999999999999">
      <c r="A456" s="210">
        <v>5</v>
      </c>
      <c r="B456" s="215"/>
      <c r="C456" s="215"/>
      <c r="D456" s="209"/>
      <c r="E456" s="210">
        <v>7</v>
      </c>
      <c r="F456" s="210" t="s">
        <v>754</v>
      </c>
      <c r="G456" s="210" t="s">
        <v>21</v>
      </c>
      <c r="H456" s="219">
        <v>40</v>
      </c>
      <c r="I456" s="309"/>
      <c r="J456" s="181" t="s">
        <v>755</v>
      </c>
      <c r="K456" s="181" t="s">
        <v>757</v>
      </c>
      <c r="L456" s="57">
        <v>37</v>
      </c>
      <c r="M456" s="71"/>
    </row>
    <row r="457" spans="1:13" ht="13.2">
      <c r="A457" s="210">
        <v>5</v>
      </c>
      <c r="B457" s="215"/>
      <c r="C457" s="215"/>
      <c r="D457" s="209"/>
      <c r="E457" s="210"/>
      <c r="F457" s="210" t="s">
        <v>754</v>
      </c>
      <c r="G457" s="314" t="s">
        <v>257</v>
      </c>
      <c r="H457" s="220">
        <f>SUM(H455:H456)</f>
        <v>72</v>
      </c>
      <c r="I457" s="309"/>
      <c r="J457" s="181"/>
      <c r="K457" s="181"/>
      <c r="L457" s="57"/>
      <c r="M457" s="71"/>
    </row>
    <row r="458" spans="1:13" ht="20.399999999999999">
      <c r="A458" s="210">
        <v>5</v>
      </c>
      <c r="B458" s="215"/>
      <c r="C458" s="215" t="s">
        <v>758</v>
      </c>
      <c r="D458" s="209" t="s">
        <v>759</v>
      </c>
      <c r="E458" s="210">
        <v>7</v>
      </c>
      <c r="F458" s="210" t="s">
        <v>760</v>
      </c>
      <c r="G458" s="210" t="s">
        <v>21</v>
      </c>
      <c r="H458" s="219"/>
      <c r="I458" s="309"/>
      <c r="J458" s="181" t="s">
        <v>761</v>
      </c>
      <c r="K458" s="181" t="s">
        <v>762</v>
      </c>
      <c r="L458" s="57">
        <v>100</v>
      </c>
      <c r="M458" s="71"/>
    </row>
    <row r="459" spans="1:13" ht="13.2">
      <c r="A459" s="380">
        <v>5</v>
      </c>
      <c r="B459" s="215"/>
      <c r="C459" s="215"/>
      <c r="D459" s="209"/>
      <c r="E459" s="210">
        <v>7</v>
      </c>
      <c r="F459" s="210" t="s">
        <v>760</v>
      </c>
      <c r="G459" s="210" t="s">
        <v>278</v>
      </c>
      <c r="H459" s="219">
        <v>3.7</v>
      </c>
      <c r="I459" s="309"/>
      <c r="J459" s="173"/>
      <c r="K459" s="173"/>
      <c r="L459" s="923"/>
      <c r="M459" s="184"/>
    </row>
    <row r="460" spans="1:13" ht="13.2">
      <c r="A460" s="210">
        <v>5</v>
      </c>
      <c r="B460" s="215"/>
      <c r="C460" s="215"/>
      <c r="D460" s="209"/>
      <c r="E460" s="210"/>
      <c r="F460" s="210" t="s">
        <v>760</v>
      </c>
      <c r="G460" s="314" t="s">
        <v>257</v>
      </c>
      <c r="H460" s="220">
        <f>SUM(H458:H459)</f>
        <v>3.7</v>
      </c>
      <c r="I460" s="309"/>
      <c r="J460" s="155"/>
      <c r="K460" s="161"/>
      <c r="L460" s="45"/>
      <c r="M460" s="184"/>
    </row>
    <row r="461" spans="1:13" ht="13.2">
      <c r="A461" s="210">
        <v>5</v>
      </c>
      <c r="B461" s="215"/>
      <c r="C461" s="215" t="s">
        <v>763</v>
      </c>
      <c r="D461" s="209" t="s">
        <v>764</v>
      </c>
      <c r="E461" s="210">
        <v>7</v>
      </c>
      <c r="F461" s="210" t="s">
        <v>765</v>
      </c>
      <c r="G461" s="210" t="s">
        <v>21</v>
      </c>
      <c r="H461" s="219">
        <v>54</v>
      </c>
      <c r="I461" s="309"/>
      <c r="J461" s="181" t="s">
        <v>766</v>
      </c>
      <c r="K461" s="924" t="s">
        <v>724</v>
      </c>
      <c r="L461" s="923">
        <v>52</v>
      </c>
      <c r="M461" s="71"/>
    </row>
    <row r="462" spans="1:13" ht="13.2">
      <c r="A462" s="210">
        <v>5</v>
      </c>
      <c r="B462" s="215"/>
      <c r="C462" s="215"/>
      <c r="D462" s="209"/>
      <c r="E462" s="210">
        <v>7</v>
      </c>
      <c r="F462" s="210" t="s">
        <v>765</v>
      </c>
      <c r="G462" s="210" t="s">
        <v>19</v>
      </c>
      <c r="H462" s="219">
        <v>40</v>
      </c>
      <c r="I462" s="309" t="s">
        <v>64</v>
      </c>
      <c r="J462" s="173"/>
      <c r="K462" s="173"/>
      <c r="L462" s="923"/>
      <c r="M462" s="71"/>
    </row>
    <row r="463" spans="1:13" ht="13.2">
      <c r="A463" s="210">
        <v>5</v>
      </c>
      <c r="B463" s="215"/>
      <c r="C463" s="215"/>
      <c r="D463" s="209"/>
      <c r="E463" s="210">
        <v>7</v>
      </c>
      <c r="F463" s="210" t="s">
        <v>765</v>
      </c>
      <c r="G463" s="314" t="s">
        <v>257</v>
      </c>
      <c r="H463" s="220">
        <f>SUM(H461:H462)</f>
        <v>94</v>
      </c>
      <c r="I463" s="309"/>
      <c r="J463" s="173"/>
      <c r="K463" s="173"/>
      <c r="L463" s="923"/>
      <c r="M463" s="71"/>
    </row>
    <row r="464" spans="1:13" ht="20.399999999999999">
      <c r="A464" s="210">
        <v>5</v>
      </c>
      <c r="B464" s="488"/>
      <c r="C464" s="488"/>
      <c r="D464" s="317" t="s">
        <v>767</v>
      </c>
      <c r="E464" s="318"/>
      <c r="F464" s="319"/>
      <c r="G464" s="318"/>
      <c r="H464" s="318"/>
      <c r="I464" s="309"/>
      <c r="J464" s="173"/>
      <c r="K464" s="173"/>
      <c r="L464" s="923"/>
      <c r="M464" s="71"/>
    </row>
    <row r="465" spans="1:13" ht="20.399999999999999">
      <c r="A465" s="380">
        <v>5</v>
      </c>
      <c r="B465" s="485" t="s">
        <v>768</v>
      </c>
      <c r="C465" s="485" t="s">
        <v>768</v>
      </c>
      <c r="D465" s="486" t="s">
        <v>769</v>
      </c>
      <c r="E465" s="274"/>
      <c r="F465" s="210"/>
      <c r="G465" s="384"/>
      <c r="H465" s="207"/>
      <c r="I465" s="309"/>
      <c r="J465" s="158"/>
      <c r="K465" s="173"/>
      <c r="L465" s="923"/>
      <c r="M465" s="71"/>
    </row>
    <row r="466" spans="1:13" ht="30.6">
      <c r="A466" s="210">
        <v>5</v>
      </c>
      <c r="B466" s="215"/>
      <c r="C466" s="215" t="s">
        <v>774</v>
      </c>
      <c r="D466" s="490" t="s">
        <v>775</v>
      </c>
      <c r="E466" s="210">
        <v>18</v>
      </c>
      <c r="F466" s="210" t="s">
        <v>776</v>
      </c>
      <c r="G466" s="210" t="s">
        <v>19</v>
      </c>
      <c r="H466" s="219">
        <f>160-24.2-23.4</f>
        <v>112.4</v>
      </c>
      <c r="I466" s="309" t="s">
        <v>49</v>
      </c>
      <c r="J466" s="181" t="s">
        <v>777</v>
      </c>
      <c r="K466" s="181" t="s">
        <v>778</v>
      </c>
      <c r="L466" s="57">
        <v>100</v>
      </c>
      <c r="M466" s="71"/>
    </row>
    <row r="467" spans="1:13" ht="13.2">
      <c r="A467" s="210">
        <v>5</v>
      </c>
      <c r="B467" s="215"/>
      <c r="C467" s="215"/>
      <c r="D467" s="490"/>
      <c r="E467" s="210"/>
      <c r="F467" s="210" t="s">
        <v>776</v>
      </c>
      <c r="G467" s="314" t="s">
        <v>257</v>
      </c>
      <c r="H467" s="220">
        <f>SUM(H466)</f>
        <v>112.4</v>
      </c>
      <c r="I467" s="309"/>
      <c r="J467" s="173"/>
      <c r="K467" s="173"/>
      <c r="L467" s="923"/>
      <c r="M467" s="71"/>
    </row>
    <row r="468" spans="1:13" ht="40.799999999999997">
      <c r="A468" s="210">
        <v>5</v>
      </c>
      <c r="B468" s="215"/>
      <c r="C468" s="215" t="s">
        <v>779</v>
      </c>
      <c r="D468" s="209" t="s">
        <v>780</v>
      </c>
      <c r="E468" s="210">
        <v>7</v>
      </c>
      <c r="F468" s="210" t="s">
        <v>781</v>
      </c>
      <c r="G468" s="210" t="s">
        <v>19</v>
      </c>
      <c r="H468" s="219">
        <v>8</v>
      </c>
      <c r="I468" s="309"/>
      <c r="J468" s="163" t="s">
        <v>782</v>
      </c>
      <c r="K468" s="181" t="s">
        <v>783</v>
      </c>
      <c r="L468" s="57">
        <v>100</v>
      </c>
      <c r="M468" s="71"/>
    </row>
    <row r="469" spans="1:13" ht="13.2">
      <c r="A469" s="210">
        <v>5</v>
      </c>
      <c r="B469" s="215"/>
      <c r="C469" s="215"/>
      <c r="D469" s="209"/>
      <c r="E469" s="210"/>
      <c r="F469" s="210" t="s">
        <v>781</v>
      </c>
      <c r="G469" s="314" t="s">
        <v>257</v>
      </c>
      <c r="H469" s="220">
        <f>SUM(H468:H468)</f>
        <v>8</v>
      </c>
      <c r="I469" s="309" t="s">
        <v>64</v>
      </c>
      <c r="J469" s="173"/>
      <c r="K469" s="173"/>
      <c r="L469" s="923"/>
      <c r="M469" s="184"/>
    </row>
    <row r="470" spans="1:13" ht="20.399999999999999">
      <c r="A470" s="210">
        <v>5</v>
      </c>
      <c r="B470" s="485" t="s">
        <v>785</v>
      </c>
      <c r="C470" s="485" t="s">
        <v>785</v>
      </c>
      <c r="D470" s="486" t="s">
        <v>786</v>
      </c>
      <c r="E470" s="210"/>
      <c r="F470" s="210"/>
      <c r="G470" s="384"/>
      <c r="H470" s="207"/>
      <c r="I470" s="309"/>
      <c r="J470" s="173"/>
      <c r="K470" s="173"/>
      <c r="L470" s="923"/>
      <c r="M470" s="71"/>
    </row>
    <row r="471" spans="1:13" ht="40.799999999999997">
      <c r="A471" s="380">
        <v>5</v>
      </c>
      <c r="B471" s="215"/>
      <c r="C471" s="215" t="s">
        <v>787</v>
      </c>
      <c r="D471" s="209" t="s">
        <v>788</v>
      </c>
      <c r="E471" s="210">
        <v>7</v>
      </c>
      <c r="F471" s="210" t="s">
        <v>789</v>
      </c>
      <c r="G471" s="210" t="s">
        <v>21</v>
      </c>
      <c r="H471" s="219"/>
      <c r="I471" s="309"/>
      <c r="J471" s="925" t="s">
        <v>790</v>
      </c>
      <c r="K471" s="181" t="s">
        <v>791</v>
      </c>
      <c r="L471" s="57">
        <v>100</v>
      </c>
      <c r="M471" s="71"/>
    </row>
    <row r="472" spans="1:13" ht="40.799999999999997">
      <c r="A472" s="210">
        <v>5</v>
      </c>
      <c r="B472" s="215"/>
      <c r="C472" s="215"/>
      <c r="D472" s="209"/>
      <c r="E472" s="210">
        <v>7</v>
      </c>
      <c r="F472" s="210" t="s">
        <v>789</v>
      </c>
      <c r="G472" s="210" t="s">
        <v>278</v>
      </c>
      <c r="H472" s="219">
        <v>1950</v>
      </c>
      <c r="I472" s="309"/>
      <c r="J472" s="181"/>
      <c r="K472" s="924" t="s">
        <v>792</v>
      </c>
      <c r="L472" s="57">
        <v>1174</v>
      </c>
      <c r="M472" s="71"/>
    </row>
    <row r="473" spans="1:13" ht="20.399999999999999">
      <c r="A473" s="210">
        <v>5</v>
      </c>
      <c r="B473" s="215"/>
      <c r="C473" s="215"/>
      <c r="D473" s="209"/>
      <c r="E473" s="210">
        <v>7</v>
      </c>
      <c r="F473" s="210" t="s">
        <v>789</v>
      </c>
      <c r="G473" s="210" t="s">
        <v>19</v>
      </c>
      <c r="H473" s="219">
        <v>2200</v>
      </c>
      <c r="I473" s="309" t="s">
        <v>49</v>
      </c>
      <c r="J473" s="173"/>
      <c r="K473" s="924" t="s">
        <v>793</v>
      </c>
      <c r="L473" s="57">
        <v>100</v>
      </c>
      <c r="M473" s="71"/>
    </row>
    <row r="474" spans="1:13" ht="13.2">
      <c r="A474" s="210">
        <v>5</v>
      </c>
      <c r="B474" s="215"/>
      <c r="C474" s="215"/>
      <c r="D474" s="209"/>
      <c r="E474" s="210">
        <v>7</v>
      </c>
      <c r="F474" s="210" t="s">
        <v>789</v>
      </c>
      <c r="G474" s="214" t="s">
        <v>23</v>
      </c>
      <c r="H474" s="219"/>
      <c r="I474" s="309"/>
      <c r="J474" s="68"/>
      <c r="K474" s="161"/>
      <c r="L474" s="45"/>
      <c r="M474" s="71"/>
    </row>
    <row r="475" spans="1:13" ht="13.2">
      <c r="A475" s="210">
        <v>5</v>
      </c>
      <c r="B475" s="215"/>
      <c r="C475" s="215"/>
      <c r="D475" s="209"/>
      <c r="E475" s="210"/>
      <c r="F475" s="210" t="s">
        <v>789</v>
      </c>
      <c r="G475" s="314" t="s">
        <v>257</v>
      </c>
      <c r="H475" s="220">
        <f>SUM(H471:H474)</f>
        <v>4150</v>
      </c>
      <c r="I475" s="309"/>
      <c r="J475" s="155"/>
      <c r="K475" s="161"/>
      <c r="L475" s="45"/>
      <c r="M475" s="184"/>
    </row>
    <row r="476" spans="1:13" ht="30.6">
      <c r="A476" s="210">
        <v>5</v>
      </c>
      <c r="B476" s="215"/>
      <c r="C476" s="215" t="s">
        <v>794</v>
      </c>
      <c r="D476" s="209" t="s">
        <v>795</v>
      </c>
      <c r="E476" s="210">
        <v>7</v>
      </c>
      <c r="F476" s="210" t="s">
        <v>796</v>
      </c>
      <c r="G476" s="210" t="s">
        <v>19</v>
      </c>
      <c r="H476" s="219">
        <v>40</v>
      </c>
      <c r="I476" s="313" t="s">
        <v>49</v>
      </c>
      <c r="J476" s="925" t="s">
        <v>766</v>
      </c>
      <c r="K476" s="924" t="s">
        <v>797</v>
      </c>
      <c r="L476" s="57">
        <v>4</v>
      </c>
      <c r="M476" s="71"/>
    </row>
    <row r="477" spans="1:13" ht="30.6">
      <c r="A477" s="380">
        <v>5</v>
      </c>
      <c r="B477" s="215"/>
      <c r="C477" s="215"/>
      <c r="D477" s="209"/>
      <c r="E477" s="210">
        <v>7</v>
      </c>
      <c r="F477" s="210" t="s">
        <v>796</v>
      </c>
      <c r="G477" s="210" t="s">
        <v>21</v>
      </c>
      <c r="H477" s="219">
        <v>41.6</v>
      </c>
      <c r="I477" s="309"/>
      <c r="J477" s="925" t="s">
        <v>766</v>
      </c>
      <c r="K477" s="924" t="s">
        <v>798</v>
      </c>
      <c r="L477" s="57">
        <v>96</v>
      </c>
      <c r="M477" s="71"/>
    </row>
    <row r="478" spans="1:13" ht="13.2">
      <c r="A478" s="210">
        <v>5</v>
      </c>
      <c r="B478" s="215"/>
      <c r="C478" s="215"/>
      <c r="D478" s="209"/>
      <c r="E478" s="210"/>
      <c r="F478" s="210" t="s">
        <v>796</v>
      </c>
      <c r="G478" s="314" t="s">
        <v>257</v>
      </c>
      <c r="H478" s="220">
        <f>SUM(H476:H477)</f>
        <v>81.599999999999994</v>
      </c>
      <c r="I478" s="309"/>
      <c r="J478" s="925" t="s">
        <v>766</v>
      </c>
      <c r="K478" s="924" t="s">
        <v>741</v>
      </c>
      <c r="L478" s="57">
        <v>4</v>
      </c>
      <c r="M478" s="184"/>
    </row>
    <row r="479" spans="1:13" ht="30.6">
      <c r="A479" s="210">
        <v>5</v>
      </c>
      <c r="B479" s="215"/>
      <c r="C479" s="215" t="s">
        <v>799</v>
      </c>
      <c r="D479" s="209" t="s">
        <v>800</v>
      </c>
      <c r="E479" s="210">
        <v>7</v>
      </c>
      <c r="F479" s="210" t="s">
        <v>801</v>
      </c>
      <c r="G479" s="210" t="s">
        <v>19</v>
      </c>
      <c r="H479" s="219">
        <v>45</v>
      </c>
      <c r="I479" s="309" t="s">
        <v>49</v>
      </c>
      <c r="J479" s="925" t="s">
        <v>766</v>
      </c>
      <c r="K479" s="181" t="s">
        <v>724</v>
      </c>
      <c r="L479" s="57">
        <v>521</v>
      </c>
      <c r="M479" s="71"/>
    </row>
    <row r="480" spans="1:13" ht="13.2">
      <c r="A480" s="210">
        <v>5</v>
      </c>
      <c r="B480" s="215"/>
      <c r="C480" s="215"/>
      <c r="D480" s="209"/>
      <c r="E480" s="210"/>
      <c r="F480" s="210" t="s">
        <v>801</v>
      </c>
      <c r="G480" s="314" t="s">
        <v>257</v>
      </c>
      <c r="H480" s="220">
        <f>SUM(H479)</f>
        <v>45</v>
      </c>
      <c r="I480" s="309"/>
      <c r="J480" s="155"/>
      <c r="K480" s="161"/>
      <c r="L480" s="45"/>
      <c r="M480" s="71"/>
    </row>
    <row r="481" spans="1:13" ht="20.399999999999999">
      <c r="A481" s="210">
        <v>5</v>
      </c>
      <c r="B481" s="215"/>
      <c r="C481" s="215" t="s">
        <v>802</v>
      </c>
      <c r="D481" s="209" t="s">
        <v>803</v>
      </c>
      <c r="E481" s="210">
        <v>7</v>
      </c>
      <c r="F481" s="210" t="s">
        <v>804</v>
      </c>
      <c r="G481" s="210" t="s">
        <v>19</v>
      </c>
      <c r="H481" s="219">
        <v>2</v>
      </c>
      <c r="I481" s="309" t="s">
        <v>49</v>
      </c>
      <c r="J481" s="925" t="s">
        <v>766</v>
      </c>
      <c r="K481" s="924" t="s">
        <v>379</v>
      </c>
      <c r="L481" s="926">
        <v>100</v>
      </c>
      <c r="M481" s="71"/>
    </row>
    <row r="482" spans="1:13" ht="13.2">
      <c r="A482" s="210">
        <v>5</v>
      </c>
      <c r="B482" s="215"/>
      <c r="C482" s="215"/>
      <c r="D482" s="209"/>
      <c r="E482" s="210"/>
      <c r="F482" s="210" t="s">
        <v>804</v>
      </c>
      <c r="G482" s="314" t="s">
        <v>257</v>
      </c>
      <c r="H482" s="220">
        <f>SUM(H481)</f>
        <v>2</v>
      </c>
      <c r="I482" s="309"/>
      <c r="J482" s="155"/>
      <c r="K482" s="161"/>
      <c r="L482" s="45"/>
      <c r="M482" s="184"/>
    </row>
    <row r="483" spans="1:13" ht="20.399999999999999">
      <c r="A483" s="380">
        <v>5</v>
      </c>
      <c r="B483" s="215"/>
      <c r="C483" s="215" t="s">
        <v>805</v>
      </c>
      <c r="D483" s="209" t="s">
        <v>806</v>
      </c>
      <c r="E483" s="210">
        <v>7</v>
      </c>
      <c r="F483" s="210" t="s">
        <v>807</v>
      </c>
      <c r="G483" s="210" t="s">
        <v>19</v>
      </c>
      <c r="H483" s="219">
        <v>122.1</v>
      </c>
      <c r="I483" s="309" t="s">
        <v>49</v>
      </c>
      <c r="J483" s="181" t="s">
        <v>808</v>
      </c>
      <c r="K483" s="924" t="s">
        <v>2085</v>
      </c>
      <c r="L483" s="157" t="s">
        <v>2084</v>
      </c>
      <c r="M483" s="71"/>
    </row>
    <row r="484" spans="1:13" ht="13.2">
      <c r="A484" s="210">
        <v>5</v>
      </c>
      <c r="B484" s="215"/>
      <c r="C484" s="215"/>
      <c r="D484" s="209"/>
      <c r="E484" s="210">
        <v>7</v>
      </c>
      <c r="F484" s="210" t="s">
        <v>807</v>
      </c>
      <c r="G484" s="210" t="s">
        <v>21</v>
      </c>
      <c r="H484" s="219">
        <v>102</v>
      </c>
      <c r="I484" s="309"/>
      <c r="J484" s="181"/>
      <c r="K484" s="181"/>
      <c r="L484" s="57"/>
      <c r="M484" s="71"/>
    </row>
    <row r="485" spans="1:13" ht="13.2">
      <c r="A485" s="210">
        <v>5</v>
      </c>
      <c r="B485" s="215"/>
      <c r="C485" s="215"/>
      <c r="D485" s="209"/>
      <c r="E485" s="210">
        <v>7</v>
      </c>
      <c r="F485" s="210" t="s">
        <v>807</v>
      </c>
      <c r="G485" s="210" t="s">
        <v>23</v>
      </c>
      <c r="H485" s="219"/>
      <c r="I485" s="309"/>
      <c r="J485" s="181"/>
      <c r="K485" s="181"/>
      <c r="L485" s="57"/>
      <c r="M485" s="71"/>
    </row>
    <row r="486" spans="1:13" ht="13.2">
      <c r="A486" s="210">
        <v>5</v>
      </c>
      <c r="B486" s="215"/>
      <c r="C486" s="215"/>
      <c r="D486" s="209"/>
      <c r="E486" s="210"/>
      <c r="F486" s="210" t="s">
        <v>807</v>
      </c>
      <c r="G486" s="314" t="s">
        <v>257</v>
      </c>
      <c r="H486" s="220">
        <f>SUM(H483:H485)</f>
        <v>224.1</v>
      </c>
      <c r="I486" s="309"/>
      <c r="J486" s="155"/>
      <c r="K486" s="161"/>
      <c r="L486" s="45"/>
      <c r="M486" s="184"/>
    </row>
    <row r="487" spans="1:13" ht="30.6">
      <c r="A487" s="210">
        <v>5</v>
      </c>
      <c r="B487" s="215"/>
      <c r="C487" s="215" t="s">
        <v>809</v>
      </c>
      <c r="D487" s="209" t="s">
        <v>810</v>
      </c>
      <c r="E487" s="210">
        <v>7</v>
      </c>
      <c r="F487" s="210" t="s">
        <v>811</v>
      </c>
      <c r="G487" s="487" t="s">
        <v>21</v>
      </c>
      <c r="H487" s="219">
        <v>265.3</v>
      </c>
      <c r="I487" s="309"/>
      <c r="J487" s="925" t="s">
        <v>812</v>
      </c>
      <c r="K487" s="924" t="s">
        <v>2083</v>
      </c>
      <c r="L487" s="157" t="s">
        <v>2086</v>
      </c>
      <c r="M487" s="71"/>
    </row>
    <row r="488" spans="1:13" ht="13.2">
      <c r="A488" s="210">
        <v>5</v>
      </c>
      <c r="B488" s="215"/>
      <c r="C488" s="215"/>
      <c r="D488" s="209"/>
      <c r="E488" s="210">
        <v>7</v>
      </c>
      <c r="F488" s="210" t="s">
        <v>811</v>
      </c>
      <c r="G488" s="210" t="s">
        <v>23</v>
      </c>
      <c r="H488" s="219"/>
      <c r="I488" s="309"/>
      <c r="J488" s="173"/>
      <c r="K488" s="173"/>
      <c r="L488" s="923"/>
      <c r="M488" s="71"/>
    </row>
    <row r="489" spans="1:13" ht="13.2">
      <c r="A489" s="210">
        <v>5</v>
      </c>
      <c r="B489" s="215"/>
      <c r="C489" s="215"/>
      <c r="D489" s="209"/>
      <c r="E489" s="210"/>
      <c r="F489" s="210" t="s">
        <v>811</v>
      </c>
      <c r="G489" s="314" t="s">
        <v>257</v>
      </c>
      <c r="H489" s="220">
        <f>SUM(H487:H488)</f>
        <v>265.3</v>
      </c>
      <c r="I489" s="309"/>
      <c r="J489" s="155"/>
      <c r="K489" s="161"/>
      <c r="L489" s="45"/>
      <c r="M489" s="71"/>
    </row>
    <row r="490" spans="1:13" ht="20.399999999999999">
      <c r="A490" s="380">
        <v>5</v>
      </c>
      <c r="B490" s="215"/>
      <c r="C490" s="215" t="s">
        <v>813</v>
      </c>
      <c r="D490" s="209" t="s">
        <v>814</v>
      </c>
      <c r="E490" s="210">
        <v>7</v>
      </c>
      <c r="F490" s="210" t="s">
        <v>815</v>
      </c>
      <c r="G490" s="210" t="s">
        <v>56</v>
      </c>
      <c r="H490" s="219">
        <v>200.4</v>
      </c>
      <c r="I490" s="309"/>
      <c r="J490" s="173" t="s">
        <v>808</v>
      </c>
      <c r="K490" s="173" t="s">
        <v>379</v>
      </c>
      <c r="L490" s="923">
        <v>100</v>
      </c>
      <c r="M490" s="71"/>
    </row>
    <row r="491" spans="1:13" ht="13.2">
      <c r="A491" s="210">
        <v>5</v>
      </c>
      <c r="B491" s="215"/>
      <c r="C491" s="215"/>
      <c r="D491" s="209"/>
      <c r="E491" s="210"/>
      <c r="F491" s="210" t="s">
        <v>815</v>
      </c>
      <c r="G491" s="314" t="s">
        <v>257</v>
      </c>
      <c r="H491" s="220">
        <f>SUM(H490)</f>
        <v>200.4</v>
      </c>
      <c r="I491" s="309"/>
      <c r="J491" s="155"/>
      <c r="K491" s="161"/>
      <c r="L491" s="45"/>
      <c r="M491" s="184"/>
    </row>
    <row r="492" spans="1:13" ht="13.2">
      <c r="A492" s="210">
        <v>5</v>
      </c>
      <c r="B492" s="215"/>
      <c r="C492" s="215" t="s">
        <v>816</v>
      </c>
      <c r="D492" s="209" t="s">
        <v>817</v>
      </c>
      <c r="E492" s="210">
        <v>7</v>
      </c>
      <c r="F492" s="210" t="s">
        <v>818</v>
      </c>
      <c r="G492" s="210" t="s">
        <v>19</v>
      </c>
      <c r="H492" s="219">
        <v>50</v>
      </c>
      <c r="I492" s="309" t="s">
        <v>58</v>
      </c>
      <c r="J492" s="173" t="s">
        <v>766</v>
      </c>
      <c r="K492" s="173" t="s">
        <v>724</v>
      </c>
      <c r="L492" s="923">
        <v>10</v>
      </c>
      <c r="M492" s="71"/>
    </row>
    <row r="493" spans="1:13" ht="13.2">
      <c r="A493" s="210">
        <v>5</v>
      </c>
      <c r="B493" s="215"/>
      <c r="C493" s="215"/>
      <c r="D493" s="209"/>
      <c r="E493" s="210">
        <v>7</v>
      </c>
      <c r="F493" s="210" t="s">
        <v>818</v>
      </c>
      <c r="G493" s="210" t="s">
        <v>56</v>
      </c>
      <c r="H493" s="219">
        <v>50</v>
      </c>
      <c r="I493" s="309"/>
      <c r="J493" s="173"/>
      <c r="K493" s="173"/>
      <c r="L493" s="923"/>
      <c r="M493" s="71"/>
    </row>
    <row r="494" spans="1:13" ht="13.2">
      <c r="A494" s="210">
        <v>5</v>
      </c>
      <c r="B494" s="215"/>
      <c r="C494" s="215"/>
      <c r="D494" s="209"/>
      <c r="E494" s="210"/>
      <c r="F494" s="210" t="s">
        <v>818</v>
      </c>
      <c r="G494" s="314" t="s">
        <v>257</v>
      </c>
      <c r="H494" s="220">
        <f>SUM(H492:H493)</f>
        <v>100</v>
      </c>
      <c r="I494" s="309"/>
      <c r="J494" s="155"/>
      <c r="K494" s="161"/>
      <c r="L494" s="45"/>
      <c r="M494" s="184"/>
    </row>
    <row r="495" spans="1:13" ht="30" customHeight="1">
      <c r="A495" s="210">
        <v>5</v>
      </c>
      <c r="B495" s="215"/>
      <c r="C495" s="215" t="s">
        <v>819</v>
      </c>
      <c r="D495" s="209" t="s">
        <v>820</v>
      </c>
      <c r="E495" s="210">
        <v>7</v>
      </c>
      <c r="F495" s="210" t="s">
        <v>821</v>
      </c>
      <c r="G495" s="210" t="s">
        <v>19</v>
      </c>
      <c r="H495" s="219">
        <v>10</v>
      </c>
      <c r="I495" s="309" t="s">
        <v>182</v>
      </c>
      <c r="J495" s="173" t="s">
        <v>808</v>
      </c>
      <c r="K495" s="173" t="s">
        <v>822</v>
      </c>
      <c r="L495" s="923">
        <v>455</v>
      </c>
      <c r="M495" s="71"/>
    </row>
    <row r="496" spans="1:13" ht="13.2">
      <c r="A496" s="210">
        <v>5</v>
      </c>
      <c r="B496" s="215"/>
      <c r="C496" s="215"/>
      <c r="D496" s="209"/>
      <c r="E496" s="210"/>
      <c r="F496" s="210" t="s">
        <v>821</v>
      </c>
      <c r="G496" s="314" t="s">
        <v>257</v>
      </c>
      <c r="H496" s="220">
        <f>SUM(H495:H495)</f>
        <v>10</v>
      </c>
      <c r="I496" s="309" t="s">
        <v>182</v>
      </c>
      <c r="J496" s="155"/>
      <c r="K496" s="161"/>
      <c r="L496" s="45"/>
      <c r="M496" s="71"/>
    </row>
    <row r="497" spans="1:13" ht="18.600000000000001" customHeight="1">
      <c r="A497" s="210">
        <v>5</v>
      </c>
      <c r="B497" s="485" t="s">
        <v>823</v>
      </c>
      <c r="C497" s="485" t="s">
        <v>823</v>
      </c>
      <c r="D497" s="486" t="s">
        <v>824</v>
      </c>
      <c r="E497" s="210"/>
      <c r="F497" s="210"/>
      <c r="G497" s="384"/>
      <c r="H497" s="207"/>
      <c r="I497" s="309"/>
      <c r="J497" s="155"/>
      <c r="K497" s="161"/>
      <c r="L497" s="45"/>
      <c r="M497" s="71"/>
    </row>
    <row r="498" spans="1:13" ht="20.399999999999999">
      <c r="A498" s="210">
        <v>5</v>
      </c>
      <c r="B498" s="215"/>
      <c r="C498" s="215" t="s">
        <v>825</v>
      </c>
      <c r="D498" s="209" t="s">
        <v>826</v>
      </c>
      <c r="E498" s="210">
        <v>7</v>
      </c>
      <c r="F498" s="210" t="s">
        <v>827</v>
      </c>
      <c r="G498" s="210" t="s">
        <v>19</v>
      </c>
      <c r="H498" s="219">
        <v>90</v>
      </c>
      <c r="I498" s="309" t="s">
        <v>64</v>
      </c>
      <c r="J498" s="925" t="s">
        <v>828</v>
      </c>
      <c r="K498" s="925" t="s">
        <v>829</v>
      </c>
      <c r="L498" s="57">
        <v>3</v>
      </c>
      <c r="M498" s="71"/>
    </row>
    <row r="499" spans="1:13" ht="20.399999999999999">
      <c r="A499" s="210">
        <v>5</v>
      </c>
      <c r="B499" s="215"/>
      <c r="C499" s="215"/>
      <c r="D499" s="209"/>
      <c r="E499" s="210">
        <v>7</v>
      </c>
      <c r="F499" s="210" t="s">
        <v>827</v>
      </c>
      <c r="G499" s="210" t="s">
        <v>22</v>
      </c>
      <c r="H499" s="219">
        <v>26</v>
      </c>
      <c r="I499" s="309"/>
      <c r="J499" s="925" t="s">
        <v>828</v>
      </c>
      <c r="K499" s="925" t="s">
        <v>830</v>
      </c>
      <c r="L499" s="57">
        <v>5</v>
      </c>
      <c r="M499" s="71"/>
    </row>
    <row r="500" spans="1:13" ht="13.2">
      <c r="A500" s="380">
        <v>5</v>
      </c>
      <c r="B500" s="215"/>
      <c r="C500" s="215"/>
      <c r="D500" s="209"/>
      <c r="E500" s="210">
        <v>7</v>
      </c>
      <c r="F500" s="210" t="s">
        <v>827</v>
      </c>
      <c r="G500" s="210" t="s">
        <v>278</v>
      </c>
      <c r="H500" s="219">
        <v>50.6</v>
      </c>
      <c r="I500" s="309"/>
      <c r="J500" s="927"/>
      <c r="K500" s="927"/>
      <c r="L500" s="927"/>
      <c r="M500" s="71"/>
    </row>
    <row r="501" spans="1:13" ht="13.2">
      <c r="A501" s="210">
        <v>5</v>
      </c>
      <c r="B501" s="215"/>
      <c r="C501" s="215"/>
      <c r="D501" s="209"/>
      <c r="E501" s="210">
        <v>7</v>
      </c>
      <c r="F501" s="210" t="s">
        <v>827</v>
      </c>
      <c r="G501" s="210" t="s">
        <v>21</v>
      </c>
      <c r="H501" s="219"/>
      <c r="I501" s="309"/>
      <c r="J501" s="173"/>
      <c r="K501" s="173"/>
      <c r="L501" s="923"/>
      <c r="M501" s="71"/>
    </row>
    <row r="502" spans="1:13" ht="13.2">
      <c r="A502" s="210">
        <v>5</v>
      </c>
      <c r="B502" s="215"/>
      <c r="C502" s="215"/>
      <c r="D502" s="209"/>
      <c r="E502" s="210">
        <v>7</v>
      </c>
      <c r="F502" s="210" t="s">
        <v>827</v>
      </c>
      <c r="G502" s="210" t="s">
        <v>21</v>
      </c>
      <c r="H502" s="219"/>
      <c r="I502" s="313"/>
      <c r="J502" s="155"/>
      <c r="K502" s="161"/>
      <c r="L502" s="45"/>
      <c r="M502" s="71"/>
    </row>
    <row r="503" spans="1:13" ht="13.2">
      <c r="A503" s="210">
        <v>5</v>
      </c>
      <c r="B503" s="215"/>
      <c r="C503" s="215"/>
      <c r="D503" s="209"/>
      <c r="E503" s="210">
        <v>7</v>
      </c>
      <c r="F503" s="210" t="s">
        <v>827</v>
      </c>
      <c r="G503" s="214" t="s">
        <v>606</v>
      </c>
      <c r="H503" s="219">
        <v>2.5</v>
      </c>
      <c r="I503" s="309"/>
      <c r="J503" s="155"/>
      <c r="K503" s="161"/>
      <c r="L503" s="45"/>
      <c r="M503" s="71"/>
    </row>
    <row r="504" spans="1:13" ht="13.2">
      <c r="A504" s="210">
        <v>5</v>
      </c>
      <c r="B504" s="215"/>
      <c r="C504" s="215"/>
      <c r="D504" s="209"/>
      <c r="E504" s="210">
        <v>7</v>
      </c>
      <c r="F504" s="210" t="s">
        <v>827</v>
      </c>
      <c r="G504" s="210" t="s">
        <v>23</v>
      </c>
      <c r="H504" s="219"/>
      <c r="I504" s="309"/>
      <c r="J504" s="173"/>
      <c r="K504" s="173"/>
      <c r="L504" s="923"/>
      <c r="M504" s="71"/>
    </row>
    <row r="505" spans="1:13" ht="13.2">
      <c r="A505" s="210">
        <v>5</v>
      </c>
      <c r="B505" s="215"/>
      <c r="C505" s="215"/>
      <c r="D505" s="209"/>
      <c r="E505" s="210"/>
      <c r="F505" s="210" t="s">
        <v>827</v>
      </c>
      <c r="G505" s="314" t="s">
        <v>257</v>
      </c>
      <c r="H505" s="220">
        <f>SUM(H498:H504)</f>
        <v>169.1</v>
      </c>
      <c r="I505" s="309"/>
      <c r="J505" s="173"/>
      <c r="K505" s="173"/>
      <c r="L505" s="923"/>
      <c r="M505" s="71"/>
    </row>
    <row r="506" spans="1:13" ht="21" customHeight="1">
      <c r="A506" s="380">
        <v>5</v>
      </c>
      <c r="B506" s="215"/>
      <c r="C506" s="215" t="s">
        <v>831</v>
      </c>
      <c r="D506" s="209" t="s">
        <v>832</v>
      </c>
      <c r="E506" s="210">
        <v>7</v>
      </c>
      <c r="F506" s="210" t="s">
        <v>833</v>
      </c>
      <c r="G506" s="309" t="s">
        <v>177</v>
      </c>
      <c r="H506" s="219">
        <v>37.5</v>
      </c>
      <c r="I506" s="309" t="s">
        <v>58</v>
      </c>
      <c r="J506" s="173" t="s">
        <v>834</v>
      </c>
      <c r="K506" s="181" t="s">
        <v>835</v>
      </c>
      <c r="L506" s="57">
        <v>5</v>
      </c>
      <c r="M506" s="71"/>
    </row>
    <row r="507" spans="1:13" ht="13.2">
      <c r="A507" s="210">
        <v>5</v>
      </c>
      <c r="B507" s="215"/>
      <c r="C507" s="215"/>
      <c r="D507" s="209"/>
      <c r="E507" s="210">
        <v>7</v>
      </c>
      <c r="F507" s="210" t="s">
        <v>833</v>
      </c>
      <c r="G507" s="309" t="s">
        <v>56</v>
      </c>
      <c r="H507" s="219">
        <v>212.5</v>
      </c>
      <c r="I507" s="309"/>
      <c r="J507" s="173"/>
      <c r="K507" s="173"/>
      <c r="L507" s="923"/>
      <c r="M507" s="71"/>
    </row>
    <row r="508" spans="1:13" ht="13.2">
      <c r="A508" s="210">
        <v>5</v>
      </c>
      <c r="B508" s="215"/>
      <c r="C508" s="215"/>
      <c r="D508" s="209"/>
      <c r="E508" s="215"/>
      <c r="F508" s="210"/>
      <c r="G508" s="314" t="s">
        <v>257</v>
      </c>
      <c r="H508" s="220">
        <f>SUM(H506:H507)</f>
        <v>250</v>
      </c>
      <c r="I508" s="309"/>
      <c r="J508" s="173"/>
      <c r="K508" s="173"/>
      <c r="L508" s="923"/>
      <c r="M508" s="71"/>
    </row>
    <row r="509" spans="1:13" ht="13.2">
      <c r="A509" s="210">
        <v>5</v>
      </c>
      <c r="B509" s="215"/>
      <c r="C509" s="215" t="s">
        <v>836</v>
      </c>
      <c r="D509" s="209" t="s">
        <v>837</v>
      </c>
      <c r="E509" s="210">
        <v>7</v>
      </c>
      <c r="F509" s="210" t="s">
        <v>838</v>
      </c>
      <c r="G509" s="309" t="s">
        <v>177</v>
      </c>
      <c r="H509" s="414">
        <v>28.5</v>
      </c>
      <c r="I509" s="309" t="s">
        <v>58</v>
      </c>
      <c r="J509" s="155"/>
      <c r="K509" s="161"/>
      <c r="L509" s="45"/>
      <c r="M509" s="71"/>
    </row>
    <row r="510" spans="1:13" ht="13.2">
      <c r="A510" s="210">
        <v>5</v>
      </c>
      <c r="B510" s="215"/>
      <c r="C510" s="215"/>
      <c r="D510" s="209"/>
      <c r="E510" s="210">
        <v>7</v>
      </c>
      <c r="F510" s="210" t="s">
        <v>838</v>
      </c>
      <c r="G510" s="309" t="s">
        <v>56</v>
      </c>
      <c r="H510" s="414">
        <v>161.5</v>
      </c>
      <c r="I510" s="309"/>
      <c r="J510" s="173"/>
      <c r="K510" s="173"/>
      <c r="L510" s="923"/>
      <c r="M510" s="71"/>
    </row>
    <row r="511" spans="1:13" ht="13.2">
      <c r="A511" s="210">
        <v>5</v>
      </c>
      <c r="B511" s="215"/>
      <c r="C511" s="215"/>
      <c r="D511" s="209"/>
      <c r="E511" s="215"/>
      <c r="F511" s="210"/>
      <c r="G511" s="314" t="s">
        <v>257</v>
      </c>
      <c r="H511" s="220">
        <f>SUM(H509:H510)</f>
        <v>190</v>
      </c>
      <c r="I511" s="309"/>
      <c r="J511" s="173"/>
      <c r="K511" s="173"/>
      <c r="L511" s="923"/>
      <c r="M511" s="71"/>
    </row>
    <row r="512" spans="1:13" ht="21.6" customHeight="1">
      <c r="A512" s="380">
        <v>5</v>
      </c>
      <c r="B512" s="215"/>
      <c r="C512" s="215" t="s">
        <v>839</v>
      </c>
      <c r="D512" s="209" t="s">
        <v>840</v>
      </c>
      <c r="E512" s="210">
        <v>7</v>
      </c>
      <c r="F512" s="210" t="s">
        <v>841</v>
      </c>
      <c r="G512" s="309" t="s">
        <v>177</v>
      </c>
      <c r="H512" s="414">
        <v>35.299999999999997</v>
      </c>
      <c r="I512" s="309" t="s">
        <v>58</v>
      </c>
      <c r="J512" s="173" t="s">
        <v>834</v>
      </c>
      <c r="K512" s="173" t="s">
        <v>842</v>
      </c>
      <c r="L512" s="923">
        <v>100</v>
      </c>
      <c r="M512" s="72" t="s">
        <v>67</v>
      </c>
    </row>
    <row r="513" spans="1:13" ht="13.2">
      <c r="A513" s="210">
        <v>5</v>
      </c>
      <c r="B513" s="215"/>
      <c r="C513" s="215"/>
      <c r="D513" s="209"/>
      <c r="E513" s="210">
        <v>7</v>
      </c>
      <c r="F513" s="210" t="s">
        <v>841</v>
      </c>
      <c r="G513" s="309" t="s">
        <v>56</v>
      </c>
      <c r="H513" s="414">
        <v>200</v>
      </c>
      <c r="I513" s="309"/>
      <c r="J513" s="173"/>
      <c r="K513" s="173"/>
      <c r="L513" s="923"/>
      <c r="M513" s="72" t="s">
        <v>67</v>
      </c>
    </row>
    <row r="514" spans="1:13" ht="24.6" customHeight="1">
      <c r="A514" s="210">
        <v>5</v>
      </c>
      <c r="B514" s="215"/>
      <c r="C514" s="215"/>
      <c r="D514" s="209"/>
      <c r="E514" s="215"/>
      <c r="F514" s="210"/>
      <c r="G514" s="314" t="s">
        <v>257</v>
      </c>
      <c r="H514" s="220">
        <f>SUM(H512:H513)</f>
        <v>235.3</v>
      </c>
      <c r="I514" s="309"/>
      <c r="J514" s="155"/>
      <c r="K514" s="161"/>
      <c r="L514" s="45"/>
      <c r="M514" s="71"/>
    </row>
    <row r="515" spans="1:13" ht="24" customHeight="1">
      <c r="A515" s="210">
        <v>5</v>
      </c>
      <c r="B515" s="215"/>
      <c r="C515" s="215" t="s">
        <v>843</v>
      </c>
      <c r="D515" s="225" t="s">
        <v>844</v>
      </c>
      <c r="E515" s="210">
        <v>7</v>
      </c>
      <c r="F515" s="210" t="s">
        <v>845</v>
      </c>
      <c r="G515" s="309" t="s">
        <v>177</v>
      </c>
      <c r="H515" s="414">
        <v>9</v>
      </c>
      <c r="I515" s="309" t="s">
        <v>58</v>
      </c>
      <c r="J515" s="173" t="s">
        <v>834</v>
      </c>
      <c r="K515" s="173" t="s">
        <v>842</v>
      </c>
      <c r="L515" s="923">
        <v>100</v>
      </c>
      <c r="M515" s="71"/>
    </row>
    <row r="516" spans="1:13" ht="13.2">
      <c r="A516" s="210">
        <v>5</v>
      </c>
      <c r="B516" s="215"/>
      <c r="C516" s="215"/>
      <c r="D516" s="209"/>
      <c r="E516" s="210">
        <v>7</v>
      </c>
      <c r="F516" s="210" t="s">
        <v>845</v>
      </c>
      <c r="G516" s="309" t="s">
        <v>56</v>
      </c>
      <c r="H516" s="414">
        <v>51</v>
      </c>
      <c r="I516" s="309"/>
      <c r="J516" s="181"/>
      <c r="K516" s="181"/>
      <c r="L516" s="57"/>
      <c r="M516" s="71"/>
    </row>
    <row r="517" spans="1:13" ht="13.2">
      <c r="A517" s="380">
        <v>5</v>
      </c>
      <c r="B517" s="215"/>
      <c r="C517" s="215"/>
      <c r="D517" s="209"/>
      <c r="E517" s="215"/>
      <c r="F517" s="210"/>
      <c r="G517" s="314" t="s">
        <v>257</v>
      </c>
      <c r="H517" s="220">
        <f>SUM(H515:H516)</f>
        <v>60</v>
      </c>
      <c r="I517" s="309"/>
      <c r="J517" s="173"/>
      <c r="K517" s="173"/>
      <c r="L517" s="923"/>
      <c r="M517" s="71"/>
    </row>
    <row r="518" spans="1:13" ht="20.399999999999999">
      <c r="A518" s="210">
        <v>5</v>
      </c>
      <c r="B518" s="215"/>
      <c r="C518" s="215" t="s">
        <v>846</v>
      </c>
      <c r="D518" s="209" t="s">
        <v>847</v>
      </c>
      <c r="E518" s="210">
        <v>7</v>
      </c>
      <c r="F518" s="210" t="s">
        <v>848</v>
      </c>
      <c r="G518" s="309" t="s">
        <v>177</v>
      </c>
      <c r="H518" s="414">
        <v>80</v>
      </c>
      <c r="I518" s="309" t="s">
        <v>58</v>
      </c>
      <c r="J518" s="173" t="s">
        <v>834</v>
      </c>
      <c r="K518" s="173" t="s">
        <v>849</v>
      </c>
      <c r="L518" s="923">
        <v>1</v>
      </c>
      <c r="M518" s="71"/>
    </row>
    <row r="519" spans="1:13" ht="13.2">
      <c r="A519" s="210">
        <v>5</v>
      </c>
      <c r="B519" s="215"/>
      <c r="C519" s="215"/>
      <c r="D519" s="209"/>
      <c r="E519" s="210">
        <v>7</v>
      </c>
      <c r="F519" s="210" t="s">
        <v>848</v>
      </c>
      <c r="G519" s="309" t="s">
        <v>56</v>
      </c>
      <c r="H519" s="414">
        <v>400</v>
      </c>
      <c r="I519" s="309"/>
      <c r="J519" s="173"/>
      <c r="K519" s="173"/>
      <c r="L519" s="923"/>
      <c r="M519" s="71"/>
    </row>
    <row r="520" spans="1:13" ht="13.2">
      <c r="A520" s="210">
        <v>5</v>
      </c>
      <c r="B520" s="215"/>
      <c r="C520" s="215"/>
      <c r="D520" s="209"/>
      <c r="E520" s="215"/>
      <c r="F520" s="210"/>
      <c r="G520" s="314" t="s">
        <v>257</v>
      </c>
      <c r="H520" s="220">
        <f>SUM(H518:H519)</f>
        <v>480</v>
      </c>
      <c r="I520" s="309"/>
      <c r="J520" s="173"/>
      <c r="K520" s="173"/>
      <c r="L520" s="923"/>
      <c r="M520" s="71"/>
    </row>
    <row r="521" spans="1:13" ht="20.399999999999999">
      <c r="A521" s="210">
        <v>5</v>
      </c>
      <c r="B521" s="215"/>
      <c r="C521" s="215" t="s">
        <v>850</v>
      </c>
      <c r="D521" s="275" t="s">
        <v>851</v>
      </c>
      <c r="E521" s="493" t="s">
        <v>852</v>
      </c>
      <c r="F521" s="818" t="s">
        <v>853</v>
      </c>
      <c r="G521" s="819" t="s">
        <v>19</v>
      </c>
      <c r="H521" s="219">
        <v>180.5</v>
      </c>
      <c r="I521" s="309" t="s">
        <v>182</v>
      </c>
      <c r="J521" s="829" t="s">
        <v>397</v>
      </c>
      <c r="K521" s="829" t="s">
        <v>854</v>
      </c>
      <c r="L521" s="835">
        <v>1</v>
      </c>
      <c r="M521" s="71"/>
    </row>
    <row r="522" spans="1:13" ht="13.2">
      <c r="A522" s="380">
        <v>5</v>
      </c>
      <c r="B522" s="215"/>
      <c r="C522" s="215"/>
      <c r="D522" s="275"/>
      <c r="E522" s="493" t="s">
        <v>852</v>
      </c>
      <c r="F522" s="818" t="s">
        <v>853</v>
      </c>
      <c r="G522" s="819" t="s">
        <v>178</v>
      </c>
      <c r="H522" s="219"/>
      <c r="I522" s="309"/>
      <c r="J522" s="173"/>
      <c r="K522" s="173"/>
      <c r="L522" s="923"/>
      <c r="M522" s="71"/>
    </row>
    <row r="523" spans="1:13" ht="13.2">
      <c r="A523" s="210">
        <v>5</v>
      </c>
      <c r="B523" s="215"/>
      <c r="C523" s="215"/>
      <c r="D523" s="209"/>
      <c r="E523" s="210"/>
      <c r="F523" s="210"/>
      <c r="G523" s="314" t="s">
        <v>257</v>
      </c>
      <c r="H523" s="220">
        <f>SUM(H521,H522)</f>
        <v>180.5</v>
      </c>
      <c r="I523" s="309"/>
      <c r="J523" s="173"/>
      <c r="K523" s="173"/>
      <c r="L523" s="923"/>
      <c r="M523" s="71"/>
    </row>
    <row r="524" spans="1:13" ht="20.399999999999999">
      <c r="A524" s="210">
        <v>5</v>
      </c>
      <c r="B524" s="488"/>
      <c r="C524" s="488"/>
      <c r="D524" s="317" t="s">
        <v>855</v>
      </c>
      <c r="E524" s="318"/>
      <c r="F524" s="319"/>
      <c r="G524" s="318"/>
      <c r="H524" s="318"/>
      <c r="I524" s="309"/>
      <c r="J524" s="155"/>
      <c r="K524" s="161"/>
      <c r="L524" s="45"/>
      <c r="M524" s="184"/>
    </row>
    <row r="525" spans="1:13" ht="31.2">
      <c r="A525" s="210">
        <v>5</v>
      </c>
      <c r="B525" s="485" t="s">
        <v>856</v>
      </c>
      <c r="C525" s="485" t="s">
        <v>856</v>
      </c>
      <c r="D525" s="486" t="s">
        <v>857</v>
      </c>
      <c r="E525" s="274">
        <v>7</v>
      </c>
      <c r="F525" s="210" t="s">
        <v>858</v>
      </c>
      <c r="G525" s="487" t="s">
        <v>21</v>
      </c>
      <c r="H525" s="219"/>
      <c r="I525" s="309"/>
      <c r="J525" s="925" t="s">
        <v>812</v>
      </c>
      <c r="K525" s="173" t="s">
        <v>859</v>
      </c>
      <c r="L525" s="57">
        <v>5</v>
      </c>
      <c r="M525" s="71"/>
    </row>
    <row r="526" spans="1:13" ht="13.2">
      <c r="A526" s="210">
        <v>5</v>
      </c>
      <c r="B526" s="215"/>
      <c r="C526" s="215"/>
      <c r="D526" s="209"/>
      <c r="E526" s="274">
        <v>7</v>
      </c>
      <c r="F526" s="210" t="s">
        <v>858</v>
      </c>
      <c r="G526" s="210" t="s">
        <v>278</v>
      </c>
      <c r="H526" s="219">
        <v>76.900000000000006</v>
      </c>
      <c r="I526" s="309"/>
      <c r="J526" s="155"/>
      <c r="K526" s="161"/>
      <c r="L526" s="45"/>
      <c r="M526" s="71"/>
    </row>
    <row r="527" spans="1:13" ht="13.2">
      <c r="A527" s="210">
        <v>5</v>
      </c>
      <c r="B527" s="215"/>
      <c r="C527" s="215"/>
      <c r="D527" s="209"/>
      <c r="E527" s="274"/>
      <c r="F527" s="210" t="s">
        <v>858</v>
      </c>
      <c r="G527" s="314" t="s">
        <v>257</v>
      </c>
      <c r="H527" s="220">
        <f>SUM(H525:H526)</f>
        <v>76.900000000000006</v>
      </c>
      <c r="I527" s="309"/>
      <c r="J527" s="155"/>
      <c r="K527" s="161"/>
      <c r="L527" s="45"/>
      <c r="M527" s="71"/>
    </row>
    <row r="528" spans="1:13" ht="40.799999999999997">
      <c r="A528" s="380">
        <v>5</v>
      </c>
      <c r="B528" s="485" t="s">
        <v>860</v>
      </c>
      <c r="C528" s="485" t="s">
        <v>860</v>
      </c>
      <c r="D528" s="486" t="s">
        <v>861</v>
      </c>
      <c r="E528" s="274"/>
      <c r="F528" s="210"/>
      <c r="G528" s="303"/>
      <c r="H528" s="207"/>
      <c r="I528" s="309"/>
      <c r="J528" s="925" t="s">
        <v>865</v>
      </c>
      <c r="K528" s="881" t="s">
        <v>870</v>
      </c>
      <c r="L528" s="57">
        <v>30</v>
      </c>
      <c r="M528" s="71"/>
    </row>
    <row r="529" spans="1:13" ht="20.399999999999999">
      <c r="A529" s="210">
        <v>5</v>
      </c>
      <c r="B529" s="215"/>
      <c r="C529" s="215" t="s">
        <v>862</v>
      </c>
      <c r="D529" s="209" t="s">
        <v>863</v>
      </c>
      <c r="E529" s="210">
        <v>16</v>
      </c>
      <c r="F529" s="210" t="s">
        <v>864</v>
      </c>
      <c r="G529" s="210" t="s">
        <v>19</v>
      </c>
      <c r="H529" s="219">
        <v>22.5</v>
      </c>
      <c r="I529" s="309" t="s">
        <v>64</v>
      </c>
      <c r="J529" s="925" t="s">
        <v>865</v>
      </c>
      <c r="K529" s="881" t="s">
        <v>866</v>
      </c>
      <c r="L529" s="57">
        <v>15</v>
      </c>
      <c r="M529" s="71"/>
    </row>
    <row r="530" spans="1:13" ht="20.399999999999999">
      <c r="A530" s="210">
        <v>5</v>
      </c>
      <c r="B530" s="215"/>
      <c r="C530" s="215"/>
      <c r="D530" s="209"/>
      <c r="E530" s="210">
        <v>16</v>
      </c>
      <c r="F530" s="210" t="s">
        <v>864</v>
      </c>
      <c r="G530" s="210" t="s">
        <v>21</v>
      </c>
      <c r="H530" s="219"/>
      <c r="I530" s="309"/>
      <c r="J530" s="925" t="s">
        <v>865</v>
      </c>
      <c r="K530" s="881" t="s">
        <v>867</v>
      </c>
      <c r="L530" s="57">
        <v>10</v>
      </c>
      <c r="M530" s="71"/>
    </row>
    <row r="531" spans="1:13" ht="20.399999999999999">
      <c r="A531" s="210">
        <v>5</v>
      </c>
      <c r="B531" s="215"/>
      <c r="C531" s="215"/>
      <c r="D531" s="209"/>
      <c r="E531" s="210">
        <v>16</v>
      </c>
      <c r="F531" s="210" t="s">
        <v>864</v>
      </c>
      <c r="G531" s="210"/>
      <c r="H531" s="219"/>
      <c r="I531" s="309" t="s">
        <v>64</v>
      </c>
      <c r="J531" s="925" t="s">
        <v>865</v>
      </c>
      <c r="K531" s="881" t="s">
        <v>868</v>
      </c>
      <c r="L531" s="57">
        <v>10</v>
      </c>
      <c r="M531" s="71"/>
    </row>
    <row r="532" spans="1:13" ht="20.399999999999999">
      <c r="A532" s="210">
        <v>5</v>
      </c>
      <c r="B532" s="215"/>
      <c r="C532" s="215"/>
      <c r="D532" s="209"/>
      <c r="E532" s="210">
        <v>16</v>
      </c>
      <c r="F532" s="210" t="s">
        <v>864</v>
      </c>
      <c r="G532" s="210"/>
      <c r="H532" s="219"/>
      <c r="I532" s="309"/>
      <c r="J532" s="925" t="s">
        <v>865</v>
      </c>
      <c r="K532" s="881" t="s">
        <v>869</v>
      </c>
      <c r="L532" s="57">
        <v>35</v>
      </c>
      <c r="M532" s="71"/>
    </row>
    <row r="533" spans="1:13" ht="13.2">
      <c r="A533" s="210">
        <v>5</v>
      </c>
      <c r="B533" s="215"/>
      <c r="C533" s="215"/>
      <c r="D533" s="209"/>
      <c r="E533" s="215"/>
      <c r="F533" s="210"/>
      <c r="G533" s="314" t="s">
        <v>257</v>
      </c>
      <c r="H533" s="220">
        <f>SUM(H529:H532)</f>
        <v>22.5</v>
      </c>
      <c r="I533" s="309"/>
      <c r="J533" s="260"/>
      <c r="K533" s="600"/>
      <c r="L533" s="202"/>
      <c r="M533" s="184"/>
    </row>
    <row r="534" spans="1:13" ht="20.399999999999999">
      <c r="A534" s="210">
        <v>5</v>
      </c>
      <c r="B534" s="488"/>
      <c r="C534" s="488"/>
      <c r="D534" s="317" t="s">
        <v>871</v>
      </c>
      <c r="E534" s="318"/>
      <c r="F534" s="319"/>
      <c r="G534" s="318"/>
      <c r="H534" s="318"/>
      <c r="I534" s="309"/>
      <c r="J534" s="173"/>
      <c r="K534" s="173"/>
      <c r="L534" s="923"/>
      <c r="M534" s="71"/>
    </row>
    <row r="535" spans="1:13" ht="55.95" customHeight="1">
      <c r="A535" s="380">
        <v>5</v>
      </c>
      <c r="B535" s="310" t="s">
        <v>872</v>
      </c>
      <c r="C535" s="310" t="s">
        <v>872</v>
      </c>
      <c r="D535" s="315" t="s">
        <v>873</v>
      </c>
      <c r="E535" s="248"/>
      <c r="F535" s="210"/>
      <c r="G535" s="210"/>
      <c r="H535" s="207">
        <f>SUM(H538,H540,H542,H545,H548)</f>
        <v>583.19999999999993</v>
      </c>
      <c r="I535" s="309"/>
      <c r="J535" s="925" t="s">
        <v>874</v>
      </c>
      <c r="K535" s="932" t="s">
        <v>875</v>
      </c>
      <c r="L535" s="157" t="s">
        <v>876</v>
      </c>
      <c r="M535" s="71"/>
    </row>
    <row r="536" spans="1:13" ht="40.799999999999997">
      <c r="A536" s="210">
        <v>5</v>
      </c>
      <c r="B536" s="215"/>
      <c r="C536" s="215" t="s">
        <v>877</v>
      </c>
      <c r="D536" s="209" t="s">
        <v>878</v>
      </c>
      <c r="E536" s="210">
        <v>8</v>
      </c>
      <c r="F536" s="210" t="s">
        <v>879</v>
      </c>
      <c r="G536" s="210" t="s">
        <v>19</v>
      </c>
      <c r="H536" s="219">
        <v>190</v>
      </c>
      <c r="I536" s="309" t="s">
        <v>64</v>
      </c>
      <c r="J536" s="925" t="s">
        <v>874</v>
      </c>
      <c r="K536" s="932" t="s">
        <v>880</v>
      </c>
      <c r="L536" s="57">
        <v>2</v>
      </c>
      <c r="M536" s="71"/>
    </row>
    <row r="537" spans="1:13" ht="30.6">
      <c r="A537" s="210">
        <v>5</v>
      </c>
      <c r="B537" s="215"/>
      <c r="C537" s="215"/>
      <c r="D537" s="209"/>
      <c r="E537" s="210">
        <v>8</v>
      </c>
      <c r="F537" s="210" t="s">
        <v>879</v>
      </c>
      <c r="G537" s="210" t="s">
        <v>259</v>
      </c>
      <c r="H537" s="219"/>
      <c r="I537" s="309"/>
      <c r="J537" s="925" t="s">
        <v>874</v>
      </c>
      <c r="K537" s="932" t="s">
        <v>881</v>
      </c>
      <c r="L537" s="57">
        <v>9</v>
      </c>
      <c r="M537" s="71"/>
    </row>
    <row r="538" spans="1:13" ht="13.2">
      <c r="A538" s="210">
        <v>5</v>
      </c>
      <c r="B538" s="215"/>
      <c r="C538" s="215"/>
      <c r="D538" s="209"/>
      <c r="E538" s="215"/>
      <c r="F538" s="210" t="s">
        <v>879</v>
      </c>
      <c r="G538" s="314" t="s">
        <v>257</v>
      </c>
      <c r="H538" s="220">
        <f>SUM(H536:H536)</f>
        <v>190</v>
      </c>
      <c r="I538" s="309"/>
      <c r="J538" s="68"/>
      <c r="K538" s="932"/>
      <c r="L538" s="193"/>
      <c r="M538" s="71"/>
    </row>
    <row r="539" spans="1:13" ht="20.399999999999999">
      <c r="A539" s="210">
        <v>5</v>
      </c>
      <c r="B539" s="215"/>
      <c r="C539" s="215" t="s">
        <v>882</v>
      </c>
      <c r="D539" s="209" t="s">
        <v>883</v>
      </c>
      <c r="E539" s="248">
        <v>8</v>
      </c>
      <c r="F539" s="210" t="s">
        <v>884</v>
      </c>
      <c r="G539" s="214" t="s">
        <v>21</v>
      </c>
      <c r="H539" s="219">
        <v>49.6</v>
      </c>
      <c r="I539" s="309"/>
      <c r="J539" s="925" t="s">
        <v>874</v>
      </c>
      <c r="K539" s="932" t="s">
        <v>885</v>
      </c>
      <c r="L539" s="57">
        <v>12</v>
      </c>
      <c r="M539" s="71"/>
    </row>
    <row r="540" spans="1:13" ht="13.2">
      <c r="A540" s="210">
        <v>5</v>
      </c>
      <c r="B540" s="215"/>
      <c r="C540" s="215"/>
      <c r="D540" s="209"/>
      <c r="E540" s="248"/>
      <c r="F540" s="494"/>
      <c r="G540" s="314" t="s">
        <v>257</v>
      </c>
      <c r="H540" s="220">
        <f>SUM(H539)</f>
        <v>49.6</v>
      </c>
      <c r="I540" s="309"/>
      <c r="J540" s="925"/>
      <c r="K540" s="932"/>
      <c r="L540" s="57"/>
      <c r="M540" s="71"/>
    </row>
    <row r="541" spans="1:13" ht="40.799999999999997">
      <c r="A541" s="380">
        <v>5</v>
      </c>
      <c r="B541" s="215"/>
      <c r="C541" s="215" t="s">
        <v>886</v>
      </c>
      <c r="D541" s="209" t="s">
        <v>887</v>
      </c>
      <c r="E541" s="210">
        <v>8</v>
      </c>
      <c r="F541" s="210" t="s">
        <v>888</v>
      </c>
      <c r="G541" s="211" t="s">
        <v>19</v>
      </c>
      <c r="H541" s="219">
        <v>94.8</v>
      </c>
      <c r="I541" s="309" t="s">
        <v>64</v>
      </c>
      <c r="J541" s="925" t="s">
        <v>874</v>
      </c>
      <c r="K541" s="932" t="s">
        <v>889</v>
      </c>
      <c r="L541" s="157">
        <v>2</v>
      </c>
      <c r="M541" s="71"/>
    </row>
    <row r="542" spans="1:13" ht="13.2">
      <c r="A542" s="210">
        <v>5</v>
      </c>
      <c r="B542" s="374"/>
      <c r="C542" s="374"/>
      <c r="D542" s="373"/>
      <c r="E542" s="374"/>
      <c r="F542" s="375" t="s">
        <v>888</v>
      </c>
      <c r="G542" s="400" t="s">
        <v>257</v>
      </c>
      <c r="H542" s="279">
        <f>SUM(H541)</f>
        <v>94.8</v>
      </c>
      <c r="I542" s="309"/>
      <c r="J542" s="928"/>
      <c r="K542" s="932"/>
      <c r="L542" s="929"/>
      <c r="M542" s="73"/>
    </row>
    <row r="543" spans="1:13" ht="20.399999999999999">
      <c r="A543" s="210">
        <v>5</v>
      </c>
      <c r="B543" s="215"/>
      <c r="C543" s="215" t="s">
        <v>890</v>
      </c>
      <c r="D543" s="209" t="s">
        <v>891</v>
      </c>
      <c r="E543" s="248">
        <v>8</v>
      </c>
      <c r="F543" s="210" t="s">
        <v>892</v>
      </c>
      <c r="G543" s="210" t="s">
        <v>19</v>
      </c>
      <c r="H543" s="219">
        <v>150</v>
      </c>
      <c r="I543" s="313" t="s">
        <v>64</v>
      </c>
      <c r="J543" s="925" t="s">
        <v>874</v>
      </c>
      <c r="K543" s="932" t="s">
        <v>885</v>
      </c>
      <c r="L543" s="57">
        <v>14</v>
      </c>
      <c r="M543" s="71"/>
    </row>
    <row r="544" spans="1:13" ht="13.2">
      <c r="A544" s="210">
        <v>5</v>
      </c>
      <c r="B544" s="379"/>
      <c r="C544" s="379"/>
      <c r="D544" s="495"/>
      <c r="E544" s="496">
        <v>8</v>
      </c>
      <c r="F544" s="380" t="s">
        <v>892</v>
      </c>
      <c r="G544" s="304" t="s">
        <v>259</v>
      </c>
      <c r="H544" s="388">
        <v>45</v>
      </c>
      <c r="I544" s="309"/>
      <c r="J544" s="930"/>
      <c r="K544" s="931"/>
      <c r="L544" s="177"/>
      <c r="M544" s="74"/>
    </row>
    <row r="545" spans="1:13" ht="13.2">
      <c r="A545" s="210">
        <v>5</v>
      </c>
      <c r="B545" s="215"/>
      <c r="C545" s="215"/>
      <c r="D545" s="209"/>
      <c r="E545" s="248"/>
      <c r="F545" s="210" t="s">
        <v>892</v>
      </c>
      <c r="G545" s="314" t="s">
        <v>257</v>
      </c>
      <c r="H545" s="220">
        <f>SUM(H543:H544)</f>
        <v>195</v>
      </c>
      <c r="I545" s="309"/>
      <c r="J545" s="925"/>
      <c r="K545" s="173"/>
      <c r="L545" s="923"/>
      <c r="M545" s="71"/>
    </row>
    <row r="546" spans="1:13" ht="30.6">
      <c r="A546" s="210">
        <v>5</v>
      </c>
      <c r="B546" s="215"/>
      <c r="C546" s="379" t="s">
        <v>893</v>
      </c>
      <c r="D546" s="209" t="s">
        <v>894</v>
      </c>
      <c r="E546" s="248">
        <v>8</v>
      </c>
      <c r="F546" s="210" t="s">
        <v>895</v>
      </c>
      <c r="G546" s="214" t="s">
        <v>19</v>
      </c>
      <c r="H546" s="219">
        <v>53.8</v>
      </c>
      <c r="I546" s="309" t="s">
        <v>58</v>
      </c>
      <c r="J546" s="925" t="s">
        <v>874</v>
      </c>
      <c r="K546" s="932" t="s">
        <v>896</v>
      </c>
      <c r="L546" s="933">
        <v>1</v>
      </c>
      <c r="M546" s="71"/>
    </row>
    <row r="547" spans="1:13" ht="13.5" customHeight="1">
      <c r="A547" s="380">
        <v>5</v>
      </c>
      <c r="B547" s="215"/>
      <c r="C547" s="215"/>
      <c r="D547" s="209"/>
      <c r="E547" s="248">
        <v>8</v>
      </c>
      <c r="F547" s="210" t="s">
        <v>895</v>
      </c>
      <c r="G547" s="214" t="s">
        <v>56</v>
      </c>
      <c r="H547" s="219">
        <f>58.2-58.2</f>
        <v>0</v>
      </c>
      <c r="I547" s="309"/>
      <c r="J547" s="925"/>
      <c r="K547" s="173"/>
      <c r="L547" s="923"/>
      <c r="M547" s="71"/>
    </row>
    <row r="548" spans="1:13" ht="13.2">
      <c r="A548" s="210">
        <v>5</v>
      </c>
      <c r="B548" s="215"/>
      <c r="C548" s="215"/>
      <c r="D548" s="209"/>
      <c r="E548" s="248">
        <v>8</v>
      </c>
      <c r="F548" s="210" t="s">
        <v>895</v>
      </c>
      <c r="G548" s="314" t="s">
        <v>257</v>
      </c>
      <c r="H548" s="220">
        <f>SUM(H546:H547)</f>
        <v>53.8</v>
      </c>
      <c r="I548" s="309"/>
      <c r="J548" s="925"/>
      <c r="K548" s="173"/>
      <c r="L548" s="923"/>
      <c r="M548" s="71"/>
    </row>
    <row r="549" spans="1:13" ht="13.2" hidden="1">
      <c r="A549" s="210">
        <v>5</v>
      </c>
      <c r="B549" s="215"/>
      <c r="C549" s="215"/>
      <c r="D549" s="209"/>
      <c r="E549" s="248"/>
      <c r="F549" s="210"/>
      <c r="G549" s="301" t="s">
        <v>257</v>
      </c>
      <c r="H549" s="301">
        <f>SUM(H433,H435,H440,H445,H449,H454,H457,H467,H469,H475,H478,H482,H486,H489,H491,H494,H496,H505,H527,H533,H538,H540,H542,H545,H451,H460,H480,H463,H437,H508,H511,H514,H517,H520,H548,H523)</f>
        <v>46886.100000000013</v>
      </c>
      <c r="I549" s="309"/>
      <c r="J549" s="155"/>
      <c r="K549" s="161"/>
      <c r="L549" s="45"/>
      <c r="M549" s="184"/>
    </row>
    <row r="550" spans="1:13" ht="13.2" hidden="1">
      <c r="A550" s="210">
        <v>5</v>
      </c>
      <c r="B550" s="215"/>
      <c r="C550" s="215"/>
      <c r="D550" s="209"/>
      <c r="E550" s="248"/>
      <c r="F550" s="210"/>
      <c r="G550" s="210" t="s">
        <v>19</v>
      </c>
      <c r="H550" s="211">
        <f>SUM(H434,H444,H453,H455,H466,H468,H473,H476,H479,H481,H483,H492,H495,H498,H529,H531,H536,H541,H543,H436,H462,H546,H521)</f>
        <v>6020.2000000000007</v>
      </c>
      <c r="I550" s="309"/>
      <c r="J550" s="157"/>
      <c r="K550" s="163"/>
      <c r="L550" s="57"/>
      <c r="M550" s="71"/>
    </row>
    <row r="551" spans="1:13" ht="13.2" hidden="1">
      <c r="A551" s="210">
        <v>5</v>
      </c>
      <c r="B551" s="215"/>
      <c r="C551" s="215"/>
      <c r="D551" s="209"/>
      <c r="E551" s="248"/>
      <c r="F551" s="210"/>
      <c r="G551" s="210" t="s">
        <v>176</v>
      </c>
      <c r="H551" s="950">
        <f>SUM(H431,H438)</f>
        <v>34522.200000000004</v>
      </c>
      <c r="I551" s="309"/>
      <c r="J551" s="157"/>
      <c r="K551" s="163"/>
      <c r="L551" s="57"/>
      <c r="M551" s="71"/>
    </row>
    <row r="552" spans="1:13" ht="13.2" hidden="1">
      <c r="A552" s="210">
        <v>5</v>
      </c>
      <c r="B552" s="215"/>
      <c r="C552" s="215"/>
      <c r="D552" s="209"/>
      <c r="E552" s="248"/>
      <c r="F552" s="210"/>
      <c r="G552" s="497" t="s">
        <v>21</v>
      </c>
      <c r="H552" s="951">
        <f>SUM(H441,H446,H456,H458,H471,H477,,H484,H487,H501,H502,H525,H530,H532,H539,H461)</f>
        <v>552.5</v>
      </c>
      <c r="I552" s="309"/>
      <c r="J552" s="157"/>
      <c r="K552" s="163"/>
      <c r="L552" s="57"/>
      <c r="M552" s="71"/>
    </row>
    <row r="553" spans="1:13" ht="13.2" hidden="1">
      <c r="A553" s="380">
        <v>5</v>
      </c>
      <c r="B553" s="215"/>
      <c r="C553" s="215"/>
      <c r="D553" s="209"/>
      <c r="E553" s="248"/>
      <c r="F553" s="210"/>
      <c r="G553" s="497" t="s">
        <v>278</v>
      </c>
      <c r="H553" s="951">
        <f>SUM(H526,H500,H472,H459,H447,H442,)</f>
        <v>4102</v>
      </c>
      <c r="I553" s="309"/>
      <c r="J553" s="157"/>
      <c r="K553" s="163"/>
      <c r="L553" s="57"/>
      <c r="M553" s="71"/>
    </row>
    <row r="554" spans="1:13" ht="13.2" hidden="1">
      <c r="A554" s="210">
        <v>5</v>
      </c>
      <c r="B554" s="215"/>
      <c r="C554" s="215"/>
      <c r="D554" s="209"/>
      <c r="E554" s="248"/>
      <c r="F554" s="210"/>
      <c r="G554" s="210" t="s">
        <v>56</v>
      </c>
      <c r="H554" s="952">
        <f>SUM(H490,H493,H507,H510,H513,H516,H519,H547)</f>
        <v>1275.4000000000001</v>
      </c>
      <c r="I554" s="309"/>
      <c r="J554" s="157"/>
      <c r="K554" s="163"/>
      <c r="L554" s="57"/>
      <c r="M554" s="71"/>
    </row>
    <row r="555" spans="1:13" ht="13.2" hidden="1">
      <c r="A555" s="210">
        <v>5</v>
      </c>
      <c r="B555" s="215"/>
      <c r="C555" s="215"/>
      <c r="D555" s="209"/>
      <c r="E555" s="248"/>
      <c r="F555" s="210"/>
      <c r="G555" s="210" t="s">
        <v>259</v>
      </c>
      <c r="H555" s="211">
        <f>SUM(H537,H544)</f>
        <v>45</v>
      </c>
      <c r="I555" s="309"/>
      <c r="J555" s="157"/>
      <c r="K555" s="163"/>
      <c r="L555" s="57"/>
      <c r="M555" s="71"/>
    </row>
    <row r="556" spans="1:13" ht="13.2" hidden="1">
      <c r="A556" s="210">
        <v>5</v>
      </c>
      <c r="B556" s="215"/>
      <c r="C556" s="215"/>
      <c r="D556" s="209"/>
      <c r="E556" s="248"/>
      <c r="F556" s="210"/>
      <c r="G556" s="210" t="s">
        <v>22</v>
      </c>
      <c r="H556" s="211">
        <f>SUM(H499)</f>
        <v>26</v>
      </c>
      <c r="I556" s="309"/>
      <c r="J556" s="157"/>
      <c r="K556" s="163"/>
      <c r="L556" s="57"/>
      <c r="M556" s="71"/>
    </row>
    <row r="557" spans="1:13" ht="13.2" hidden="1">
      <c r="A557" s="210">
        <v>5</v>
      </c>
      <c r="B557" s="215"/>
      <c r="C557" s="215"/>
      <c r="D557" s="209"/>
      <c r="E557" s="248"/>
      <c r="F557" s="210"/>
      <c r="G557" s="210" t="s">
        <v>606</v>
      </c>
      <c r="H557" s="211">
        <f>H503</f>
        <v>2.5</v>
      </c>
      <c r="I557" s="309"/>
      <c r="J557" s="157"/>
      <c r="K557" s="163"/>
      <c r="L557" s="57"/>
      <c r="M557" s="71"/>
    </row>
    <row r="558" spans="1:13" ht="13.2" hidden="1">
      <c r="A558" s="210">
        <v>5</v>
      </c>
      <c r="B558" s="215"/>
      <c r="C558" s="215"/>
      <c r="D558" s="209"/>
      <c r="E558" s="248"/>
      <c r="F558" s="210"/>
      <c r="G558" s="210" t="s">
        <v>23</v>
      </c>
      <c r="H558" s="211">
        <f>SUM(H443,H448,H450,H488,H504,H485,H474)</f>
        <v>0</v>
      </c>
      <c r="I558" s="309"/>
      <c r="J558" s="157"/>
      <c r="K558" s="163"/>
      <c r="L558" s="57"/>
      <c r="M558" s="71"/>
    </row>
    <row r="559" spans="1:13" ht="13.2" hidden="1">
      <c r="A559" s="380">
        <v>5</v>
      </c>
      <c r="B559" s="215"/>
      <c r="C559" s="215"/>
      <c r="D559" s="209"/>
      <c r="E559" s="248"/>
      <c r="F559" s="210"/>
      <c r="G559" s="210" t="s">
        <v>712</v>
      </c>
      <c r="H559" s="211">
        <f>H432+H439</f>
        <v>150</v>
      </c>
      <c r="I559" s="309"/>
      <c r="J559" s="157"/>
      <c r="K559" s="163"/>
      <c r="L559" s="57"/>
      <c r="M559" s="71"/>
    </row>
    <row r="560" spans="1:13" ht="13.2" hidden="1">
      <c r="A560" s="210">
        <v>5</v>
      </c>
      <c r="B560" s="215"/>
      <c r="C560" s="215"/>
      <c r="D560" s="209"/>
      <c r="E560" s="248"/>
      <c r="F560" s="210"/>
      <c r="G560" s="210" t="s">
        <v>178</v>
      </c>
      <c r="H560" s="211">
        <f>SUM(H522)</f>
        <v>0</v>
      </c>
      <c r="I560" s="309"/>
      <c r="J560" s="157"/>
      <c r="K560" s="163"/>
      <c r="L560" s="57"/>
      <c r="M560" s="71"/>
    </row>
    <row r="561" spans="1:13" ht="13.2" hidden="1">
      <c r="A561" s="210">
        <v>5</v>
      </c>
      <c r="B561" s="215"/>
      <c r="C561" s="215"/>
      <c r="D561" s="209"/>
      <c r="E561" s="248"/>
      <c r="F561" s="210"/>
      <c r="G561" s="210" t="s">
        <v>177</v>
      </c>
      <c r="H561" s="211">
        <f>H518+H515+H512+H509+H506</f>
        <v>190.3</v>
      </c>
      <c r="I561" s="309"/>
      <c r="J561" s="157"/>
      <c r="K561" s="163"/>
      <c r="L561" s="57"/>
      <c r="M561" s="71"/>
    </row>
    <row r="562" spans="1:13" ht="13.2" hidden="1">
      <c r="A562" s="210">
        <v>5</v>
      </c>
      <c r="B562" s="215"/>
      <c r="C562" s="215"/>
      <c r="D562" s="209"/>
      <c r="E562" s="248"/>
      <c r="F562" s="210"/>
      <c r="G562" s="210" t="s">
        <v>500</v>
      </c>
      <c r="H562" s="211"/>
      <c r="I562" s="309"/>
      <c r="J562" s="157"/>
      <c r="K562" s="163"/>
      <c r="L562" s="57"/>
      <c r="M562" s="71"/>
    </row>
    <row r="563" spans="1:13" ht="13.2" hidden="1">
      <c r="A563" s="210">
        <v>5</v>
      </c>
      <c r="B563" s="215"/>
      <c r="C563" s="215"/>
      <c r="D563" s="209"/>
      <c r="E563" s="248"/>
      <c r="F563" s="210"/>
      <c r="G563" s="301" t="s">
        <v>257</v>
      </c>
      <c r="H563" s="301">
        <f>SUM(H550:H562)</f>
        <v>46886.100000000013</v>
      </c>
      <c r="I563" s="309"/>
      <c r="J563" s="157"/>
      <c r="K563" s="163"/>
      <c r="L563" s="57"/>
      <c r="M563" s="71"/>
    </row>
    <row r="564" spans="1:13" ht="13.2" hidden="1">
      <c r="A564" s="210">
        <v>5</v>
      </c>
      <c r="B564" s="215"/>
      <c r="C564" s="215"/>
      <c r="D564" s="209"/>
      <c r="E564" s="248"/>
      <c r="F564" s="210"/>
      <c r="G564" s="210"/>
      <c r="H564" s="211">
        <f>H549-H563</f>
        <v>0</v>
      </c>
      <c r="I564" s="309"/>
      <c r="J564" s="157"/>
      <c r="K564" s="163"/>
      <c r="L564" s="57"/>
      <c r="M564" s="71"/>
    </row>
    <row r="565" spans="1:13" ht="13.2">
      <c r="A565" s="946"/>
      <c r="B565" s="946"/>
      <c r="C565" s="946"/>
      <c r="D565" s="946" t="s">
        <v>2092</v>
      </c>
      <c r="E565" s="947"/>
      <c r="F565" s="946"/>
      <c r="G565" s="946"/>
      <c r="H565" s="946"/>
      <c r="I565" s="946"/>
      <c r="J565" s="946"/>
      <c r="K565" s="946"/>
      <c r="L565" s="946"/>
      <c r="M565" s="948"/>
    </row>
    <row r="566" spans="1:13" ht="20.399999999999999">
      <c r="A566" s="498">
        <v>6</v>
      </c>
      <c r="B566" s="499"/>
      <c r="C566" s="499"/>
      <c r="D566" s="500" t="s">
        <v>897</v>
      </c>
      <c r="E566" s="501"/>
      <c r="F566" s="502"/>
      <c r="G566" s="503"/>
      <c r="H566" s="504"/>
      <c r="I566" s="505" t="s">
        <v>661</v>
      </c>
      <c r="J566" s="934" t="s">
        <v>661</v>
      </c>
      <c r="K566" s="935" t="s">
        <v>661</v>
      </c>
      <c r="L566" s="936" t="s">
        <v>661</v>
      </c>
      <c r="M566" s="75" t="s">
        <v>661</v>
      </c>
    </row>
    <row r="567" spans="1:13" ht="20.399999999999999">
      <c r="A567" s="498">
        <v>6</v>
      </c>
      <c r="B567" s="231" t="s">
        <v>898</v>
      </c>
      <c r="C567" s="231" t="s">
        <v>898</v>
      </c>
      <c r="D567" s="506" t="s">
        <v>899</v>
      </c>
      <c r="E567" s="507"/>
      <c r="F567" s="507"/>
      <c r="G567" s="507"/>
      <c r="H567" s="507"/>
      <c r="I567" s="235" t="s">
        <v>661</v>
      </c>
      <c r="J567" s="76" t="s">
        <v>661</v>
      </c>
      <c r="K567" s="164" t="s">
        <v>661</v>
      </c>
      <c r="L567" s="77" t="s">
        <v>661</v>
      </c>
      <c r="M567" s="78" t="s">
        <v>661</v>
      </c>
    </row>
    <row r="568" spans="1:13" ht="20.399999999999999">
      <c r="A568" s="498">
        <v>6</v>
      </c>
      <c r="B568" s="508"/>
      <c r="C568" s="820"/>
      <c r="D568" s="509"/>
      <c r="E568" s="510"/>
      <c r="F568" s="821"/>
      <c r="G568" s="511" t="s">
        <v>900</v>
      </c>
      <c r="H568" s="511">
        <f>SUM(H571,H574,H577,H580,H583,H586,H589,H592,H595,H598,H601,H604,H607)</f>
        <v>2280.7999999999997</v>
      </c>
      <c r="I568" s="235" t="s">
        <v>661</v>
      </c>
      <c r="J568" s="79" t="s">
        <v>661</v>
      </c>
      <c r="K568" s="165" t="s">
        <v>661</v>
      </c>
      <c r="L568" s="80" t="s">
        <v>661</v>
      </c>
      <c r="M568" s="81" t="s">
        <v>661</v>
      </c>
    </row>
    <row r="569" spans="1:13" ht="20.399999999999999">
      <c r="A569" s="498">
        <v>6</v>
      </c>
      <c r="B569" s="508"/>
      <c r="C569" s="508"/>
      <c r="D569" s="509"/>
      <c r="E569" s="510"/>
      <c r="F569" s="821"/>
      <c r="G569" s="511" t="s">
        <v>901</v>
      </c>
      <c r="H569" s="511">
        <f>SUM(H572,H575,H578,H581,H584,H587,H590,H593,H596,H599,H602,H608,H605)</f>
        <v>0</v>
      </c>
      <c r="I569" s="235" t="s">
        <v>661</v>
      </c>
      <c r="J569" s="79" t="s">
        <v>661</v>
      </c>
      <c r="K569" s="166" t="s">
        <v>661</v>
      </c>
      <c r="L569" s="80" t="s">
        <v>661</v>
      </c>
      <c r="M569" s="81" t="s">
        <v>661</v>
      </c>
    </row>
    <row r="570" spans="1:13" ht="13.2">
      <c r="A570" s="498">
        <v>6</v>
      </c>
      <c r="B570" s="508"/>
      <c r="C570" s="508"/>
      <c r="D570" s="509"/>
      <c r="E570" s="510"/>
      <c r="F570" s="821"/>
      <c r="G570" s="512" t="s">
        <v>902</v>
      </c>
      <c r="H570" s="512">
        <f>H568+H569</f>
        <v>2280.7999999999997</v>
      </c>
      <c r="I570" s="235" t="s">
        <v>661</v>
      </c>
      <c r="J570" s="79" t="s">
        <v>661</v>
      </c>
      <c r="K570" s="166" t="s">
        <v>661</v>
      </c>
      <c r="L570" s="80" t="s">
        <v>661</v>
      </c>
      <c r="M570" s="81" t="s">
        <v>661</v>
      </c>
    </row>
    <row r="571" spans="1:13" ht="13.2">
      <c r="A571" s="498">
        <v>6</v>
      </c>
      <c r="B571" s="508"/>
      <c r="C571" s="508" t="s">
        <v>903</v>
      </c>
      <c r="D571" s="509" t="s">
        <v>904</v>
      </c>
      <c r="E571" s="513">
        <v>19</v>
      </c>
      <c r="F571" s="510" t="s">
        <v>905</v>
      </c>
      <c r="G571" s="492" t="s">
        <v>19</v>
      </c>
      <c r="H571" s="514">
        <v>63.9</v>
      </c>
      <c r="I571" s="235" t="s">
        <v>49</v>
      </c>
      <c r="J571" s="79" t="s">
        <v>906</v>
      </c>
      <c r="K571" s="166" t="s">
        <v>907</v>
      </c>
      <c r="L571" s="80">
        <v>52.1</v>
      </c>
      <c r="M571" s="81" t="s">
        <v>222</v>
      </c>
    </row>
    <row r="572" spans="1:13" ht="13.2">
      <c r="A572" s="498">
        <v>6</v>
      </c>
      <c r="B572" s="508"/>
      <c r="C572" s="508"/>
      <c r="D572" s="509"/>
      <c r="E572" s="513">
        <v>19</v>
      </c>
      <c r="F572" s="510" t="s">
        <v>905</v>
      </c>
      <c r="G572" s="491" t="s">
        <v>258</v>
      </c>
      <c r="H572" s="514"/>
      <c r="I572" s="235" t="s">
        <v>49</v>
      </c>
      <c r="J572" s="79" t="s">
        <v>661</v>
      </c>
      <c r="K572" s="166" t="s">
        <v>661</v>
      </c>
      <c r="L572" s="80" t="s">
        <v>661</v>
      </c>
      <c r="M572" s="81" t="s">
        <v>222</v>
      </c>
    </row>
    <row r="573" spans="1:13" ht="13.2">
      <c r="A573" s="498">
        <v>6</v>
      </c>
      <c r="B573" s="508"/>
      <c r="C573" s="508"/>
      <c r="D573" s="509"/>
      <c r="E573" s="513"/>
      <c r="F573" s="510" t="s">
        <v>905</v>
      </c>
      <c r="G573" s="515" t="s">
        <v>257</v>
      </c>
      <c r="H573" s="220">
        <f>SUM(H571:H572)</f>
        <v>63.9</v>
      </c>
      <c r="I573" s="235" t="s">
        <v>661</v>
      </c>
      <c r="J573" s="79" t="s">
        <v>661</v>
      </c>
      <c r="K573" s="166" t="s">
        <v>661</v>
      </c>
      <c r="L573" s="82" t="s">
        <v>661</v>
      </c>
      <c r="M573" s="83" t="s">
        <v>661</v>
      </c>
    </row>
    <row r="574" spans="1:13" ht="21">
      <c r="A574" s="498">
        <v>6</v>
      </c>
      <c r="B574" s="508"/>
      <c r="C574" s="508" t="s">
        <v>908</v>
      </c>
      <c r="D574" s="509" t="s">
        <v>909</v>
      </c>
      <c r="E574" s="513">
        <v>20</v>
      </c>
      <c r="F574" s="510" t="s">
        <v>910</v>
      </c>
      <c r="G574" s="492" t="s">
        <v>19</v>
      </c>
      <c r="H574" s="514">
        <v>136.80000000000001</v>
      </c>
      <c r="I574" s="235" t="s">
        <v>49</v>
      </c>
      <c r="J574" s="79" t="s">
        <v>911</v>
      </c>
      <c r="K574" s="166" t="s">
        <v>907</v>
      </c>
      <c r="L574" s="80">
        <v>76.900000000000006</v>
      </c>
      <c r="M574" s="81" t="s">
        <v>562</v>
      </c>
    </row>
    <row r="575" spans="1:13" ht="13.2">
      <c r="A575" s="498">
        <v>6</v>
      </c>
      <c r="B575" s="508"/>
      <c r="C575" s="508"/>
      <c r="D575" s="509"/>
      <c r="E575" s="513">
        <v>20</v>
      </c>
      <c r="F575" s="510" t="s">
        <v>910</v>
      </c>
      <c r="G575" s="491" t="s">
        <v>258</v>
      </c>
      <c r="H575" s="514"/>
      <c r="I575" s="235" t="s">
        <v>49</v>
      </c>
      <c r="J575" s="79" t="s">
        <v>661</v>
      </c>
      <c r="K575" s="166" t="s">
        <v>661</v>
      </c>
      <c r="L575" s="80" t="s">
        <v>661</v>
      </c>
      <c r="M575" s="81" t="s">
        <v>562</v>
      </c>
    </row>
    <row r="576" spans="1:13" ht="13.2">
      <c r="A576" s="498">
        <v>6</v>
      </c>
      <c r="B576" s="508"/>
      <c r="C576" s="508"/>
      <c r="D576" s="509"/>
      <c r="E576" s="513"/>
      <c r="F576" s="510" t="s">
        <v>910</v>
      </c>
      <c r="G576" s="515" t="s">
        <v>257</v>
      </c>
      <c r="H576" s="220">
        <f>SUM(H574:H575)</f>
        <v>136.80000000000001</v>
      </c>
      <c r="I576" s="235" t="s">
        <v>661</v>
      </c>
      <c r="J576" s="79" t="s">
        <v>661</v>
      </c>
      <c r="K576" s="166" t="s">
        <v>661</v>
      </c>
      <c r="L576" s="82" t="s">
        <v>661</v>
      </c>
      <c r="M576" s="83" t="s">
        <v>661</v>
      </c>
    </row>
    <row r="577" spans="1:13" ht="13.2">
      <c r="A577" s="498">
        <v>6</v>
      </c>
      <c r="B577" s="508"/>
      <c r="C577" s="508" t="s">
        <v>912</v>
      </c>
      <c r="D577" s="509" t="s">
        <v>913</v>
      </c>
      <c r="E577" s="513">
        <v>21</v>
      </c>
      <c r="F577" s="510" t="s">
        <v>914</v>
      </c>
      <c r="G577" s="492" t="s">
        <v>19</v>
      </c>
      <c r="H577" s="514">
        <v>195.9</v>
      </c>
      <c r="I577" s="235" t="s">
        <v>49</v>
      </c>
      <c r="J577" s="79" t="s">
        <v>915</v>
      </c>
      <c r="K577" s="166" t="s">
        <v>907</v>
      </c>
      <c r="L577" s="937">
        <v>121</v>
      </c>
      <c r="M577" s="81" t="s">
        <v>189</v>
      </c>
    </row>
    <row r="578" spans="1:13" ht="13.2">
      <c r="A578" s="498">
        <v>6</v>
      </c>
      <c r="B578" s="508"/>
      <c r="C578" s="508"/>
      <c r="D578" s="509"/>
      <c r="E578" s="513">
        <v>21</v>
      </c>
      <c r="F578" s="510" t="s">
        <v>914</v>
      </c>
      <c r="G578" s="491" t="s">
        <v>258</v>
      </c>
      <c r="H578" s="514"/>
      <c r="I578" s="235" t="s">
        <v>49</v>
      </c>
      <c r="J578" s="79" t="s">
        <v>661</v>
      </c>
      <c r="K578" s="166" t="s">
        <v>661</v>
      </c>
      <c r="L578" s="80" t="s">
        <v>661</v>
      </c>
      <c r="M578" s="81" t="s">
        <v>189</v>
      </c>
    </row>
    <row r="579" spans="1:13" ht="13.2">
      <c r="A579" s="498">
        <v>6</v>
      </c>
      <c r="B579" s="508"/>
      <c r="C579" s="508"/>
      <c r="D579" s="509"/>
      <c r="E579" s="513"/>
      <c r="F579" s="510" t="s">
        <v>914</v>
      </c>
      <c r="G579" s="515" t="s">
        <v>257</v>
      </c>
      <c r="H579" s="220">
        <f>SUM(H577:H578)</f>
        <v>195.9</v>
      </c>
      <c r="I579" s="235" t="s">
        <v>661</v>
      </c>
      <c r="J579" s="79" t="s">
        <v>661</v>
      </c>
      <c r="K579" s="166" t="s">
        <v>661</v>
      </c>
      <c r="L579" s="82" t="s">
        <v>661</v>
      </c>
      <c r="M579" s="83" t="s">
        <v>661</v>
      </c>
    </row>
    <row r="580" spans="1:13" ht="21">
      <c r="A580" s="498">
        <v>6</v>
      </c>
      <c r="B580" s="508"/>
      <c r="C580" s="508" t="s">
        <v>916</v>
      </c>
      <c r="D580" s="509" t="s">
        <v>917</v>
      </c>
      <c r="E580" s="513">
        <v>22</v>
      </c>
      <c r="F580" s="510" t="s">
        <v>918</v>
      </c>
      <c r="G580" s="492" t="s">
        <v>19</v>
      </c>
      <c r="H580" s="514">
        <v>89.4</v>
      </c>
      <c r="I580" s="235" t="s">
        <v>49</v>
      </c>
      <c r="J580" s="79" t="s">
        <v>919</v>
      </c>
      <c r="K580" s="166" t="s">
        <v>907</v>
      </c>
      <c r="L580" s="80">
        <v>79.7</v>
      </c>
      <c r="M580" s="81" t="s">
        <v>256</v>
      </c>
    </row>
    <row r="581" spans="1:13" ht="13.2">
      <c r="A581" s="498">
        <v>6</v>
      </c>
      <c r="B581" s="508"/>
      <c r="C581" s="508"/>
      <c r="D581" s="509"/>
      <c r="E581" s="513">
        <v>22</v>
      </c>
      <c r="F581" s="510" t="s">
        <v>918</v>
      </c>
      <c r="G581" s="491" t="s">
        <v>258</v>
      </c>
      <c r="H581" s="514"/>
      <c r="I581" s="235" t="s">
        <v>49</v>
      </c>
      <c r="J581" s="79" t="s">
        <v>661</v>
      </c>
      <c r="K581" s="166" t="s">
        <v>661</v>
      </c>
      <c r="L581" s="80" t="s">
        <v>661</v>
      </c>
      <c r="M581" s="81" t="s">
        <v>256</v>
      </c>
    </row>
    <row r="582" spans="1:13" ht="13.2">
      <c r="A582" s="498">
        <v>6</v>
      </c>
      <c r="B582" s="508"/>
      <c r="C582" s="508"/>
      <c r="D582" s="509"/>
      <c r="E582" s="513"/>
      <c r="F582" s="510" t="s">
        <v>918</v>
      </c>
      <c r="G582" s="515" t="s">
        <v>257</v>
      </c>
      <c r="H582" s="220">
        <f>SUM(H580:H581)</f>
        <v>89.4</v>
      </c>
      <c r="I582" s="235" t="s">
        <v>661</v>
      </c>
      <c r="J582" s="79" t="s">
        <v>661</v>
      </c>
      <c r="K582" s="166" t="s">
        <v>661</v>
      </c>
      <c r="L582" s="82" t="s">
        <v>661</v>
      </c>
      <c r="M582" s="83" t="s">
        <v>661</v>
      </c>
    </row>
    <row r="583" spans="1:13" ht="21">
      <c r="A583" s="498">
        <v>6</v>
      </c>
      <c r="B583" s="508"/>
      <c r="C583" s="508" t="s">
        <v>920</v>
      </c>
      <c r="D583" s="509" t="s">
        <v>921</v>
      </c>
      <c r="E583" s="513">
        <v>23</v>
      </c>
      <c r="F583" s="510" t="s">
        <v>922</v>
      </c>
      <c r="G583" s="492" t="s">
        <v>19</v>
      </c>
      <c r="H583" s="514">
        <v>254.3</v>
      </c>
      <c r="I583" s="235" t="s">
        <v>49</v>
      </c>
      <c r="J583" s="79" t="s">
        <v>923</v>
      </c>
      <c r="K583" s="166" t="s">
        <v>907</v>
      </c>
      <c r="L583" s="80">
        <v>64.900000000000006</v>
      </c>
      <c r="M583" s="81" t="s">
        <v>67</v>
      </c>
    </row>
    <row r="584" spans="1:13" ht="13.2">
      <c r="A584" s="498">
        <v>6</v>
      </c>
      <c r="B584" s="508"/>
      <c r="C584" s="508"/>
      <c r="D584" s="509"/>
      <c r="E584" s="513">
        <v>23</v>
      </c>
      <c r="F584" s="510" t="s">
        <v>922</v>
      </c>
      <c r="G584" s="491" t="s">
        <v>258</v>
      </c>
      <c r="H584" s="514"/>
      <c r="I584" s="235" t="s">
        <v>49</v>
      </c>
      <c r="J584" s="79" t="s">
        <v>661</v>
      </c>
      <c r="K584" s="166" t="s">
        <v>661</v>
      </c>
      <c r="L584" s="80" t="s">
        <v>661</v>
      </c>
      <c r="M584" s="81" t="s">
        <v>67</v>
      </c>
    </row>
    <row r="585" spans="1:13" ht="13.2">
      <c r="A585" s="498">
        <v>6</v>
      </c>
      <c r="B585" s="508"/>
      <c r="C585" s="508"/>
      <c r="D585" s="509"/>
      <c r="E585" s="513"/>
      <c r="F585" s="510" t="s">
        <v>922</v>
      </c>
      <c r="G585" s="515" t="s">
        <v>257</v>
      </c>
      <c r="H585" s="220">
        <f>SUM(H583:H584)</f>
        <v>254.3</v>
      </c>
      <c r="I585" s="235" t="s">
        <v>661</v>
      </c>
      <c r="J585" s="79" t="s">
        <v>661</v>
      </c>
      <c r="K585" s="166" t="s">
        <v>661</v>
      </c>
      <c r="L585" s="82" t="s">
        <v>661</v>
      </c>
      <c r="M585" s="83" t="s">
        <v>661</v>
      </c>
    </row>
    <row r="586" spans="1:13" ht="13.2">
      <c r="A586" s="498">
        <v>6</v>
      </c>
      <c r="B586" s="508"/>
      <c r="C586" s="508" t="s">
        <v>924</v>
      </c>
      <c r="D586" s="509" t="s">
        <v>925</v>
      </c>
      <c r="E586" s="513">
        <v>24</v>
      </c>
      <c r="F586" s="510" t="s">
        <v>926</v>
      </c>
      <c r="G586" s="492" t="s">
        <v>19</v>
      </c>
      <c r="H586" s="514">
        <v>45.1</v>
      </c>
      <c r="I586" s="235" t="s">
        <v>49</v>
      </c>
      <c r="J586" s="79" t="s">
        <v>927</v>
      </c>
      <c r="K586" s="166" t="s">
        <v>907</v>
      </c>
      <c r="L586" s="80">
        <v>41.7</v>
      </c>
      <c r="M586" s="81" t="s">
        <v>373</v>
      </c>
    </row>
    <row r="587" spans="1:13" ht="13.2">
      <c r="A587" s="498">
        <v>6</v>
      </c>
      <c r="B587" s="508"/>
      <c r="C587" s="508"/>
      <c r="D587" s="509"/>
      <c r="E587" s="513">
        <v>24</v>
      </c>
      <c r="F587" s="510" t="s">
        <v>926</v>
      </c>
      <c r="G587" s="491" t="s">
        <v>258</v>
      </c>
      <c r="H587" s="514"/>
      <c r="I587" s="235" t="s">
        <v>49</v>
      </c>
      <c r="J587" s="79" t="s">
        <v>661</v>
      </c>
      <c r="K587" s="166" t="s">
        <v>661</v>
      </c>
      <c r="L587" s="80" t="s">
        <v>661</v>
      </c>
      <c r="M587" s="81" t="s">
        <v>373</v>
      </c>
    </row>
    <row r="588" spans="1:13" ht="13.2">
      <c r="A588" s="498">
        <v>6</v>
      </c>
      <c r="B588" s="508"/>
      <c r="C588" s="508"/>
      <c r="D588" s="509"/>
      <c r="E588" s="513"/>
      <c r="F588" s="510" t="s">
        <v>926</v>
      </c>
      <c r="G588" s="515" t="s">
        <v>257</v>
      </c>
      <c r="H588" s="220">
        <f>SUM(H586:H587)</f>
        <v>45.1</v>
      </c>
      <c r="I588" s="235" t="s">
        <v>661</v>
      </c>
      <c r="J588" s="79" t="s">
        <v>661</v>
      </c>
      <c r="K588" s="166" t="s">
        <v>661</v>
      </c>
      <c r="L588" s="82" t="s">
        <v>661</v>
      </c>
      <c r="M588" s="83" t="s">
        <v>661</v>
      </c>
    </row>
    <row r="589" spans="1:13" ht="21">
      <c r="A589" s="498">
        <v>6</v>
      </c>
      <c r="B589" s="508"/>
      <c r="C589" s="508" t="s">
        <v>928</v>
      </c>
      <c r="D589" s="509" t="s">
        <v>929</v>
      </c>
      <c r="E589" s="513">
        <v>25</v>
      </c>
      <c r="F589" s="510" t="s">
        <v>930</v>
      </c>
      <c r="G589" s="492" t="s">
        <v>19</v>
      </c>
      <c r="H589" s="514">
        <v>193.3</v>
      </c>
      <c r="I589" s="235" t="s">
        <v>49</v>
      </c>
      <c r="J589" s="79" t="s">
        <v>931</v>
      </c>
      <c r="K589" s="166" t="s">
        <v>907</v>
      </c>
      <c r="L589" s="80">
        <v>132.19999999999999</v>
      </c>
      <c r="M589" s="81" t="s">
        <v>228</v>
      </c>
    </row>
    <row r="590" spans="1:13" ht="13.2">
      <c r="A590" s="498">
        <v>6</v>
      </c>
      <c r="B590" s="508"/>
      <c r="C590" s="508"/>
      <c r="D590" s="509"/>
      <c r="E590" s="513">
        <v>25</v>
      </c>
      <c r="F590" s="510" t="s">
        <v>930</v>
      </c>
      <c r="G590" s="491" t="s">
        <v>258</v>
      </c>
      <c r="H590" s="514"/>
      <c r="I590" s="235" t="s">
        <v>49</v>
      </c>
      <c r="J590" s="79" t="s">
        <v>661</v>
      </c>
      <c r="K590" s="166" t="s">
        <v>661</v>
      </c>
      <c r="L590" s="80" t="s">
        <v>661</v>
      </c>
      <c r="M590" s="81" t="s">
        <v>228</v>
      </c>
    </row>
    <row r="591" spans="1:13" ht="13.2">
      <c r="A591" s="498">
        <v>6</v>
      </c>
      <c r="B591" s="508"/>
      <c r="C591" s="508"/>
      <c r="D591" s="509"/>
      <c r="E591" s="513"/>
      <c r="F591" s="510" t="s">
        <v>930</v>
      </c>
      <c r="G591" s="515" t="s">
        <v>257</v>
      </c>
      <c r="H591" s="220">
        <f>SUM(H589:H590)</f>
        <v>193.3</v>
      </c>
      <c r="I591" s="235" t="s">
        <v>661</v>
      </c>
      <c r="J591" s="79" t="s">
        <v>661</v>
      </c>
      <c r="K591" s="166" t="s">
        <v>661</v>
      </c>
      <c r="L591" s="82" t="s">
        <v>661</v>
      </c>
      <c r="M591" s="83" t="s">
        <v>661</v>
      </c>
    </row>
    <row r="592" spans="1:13" ht="31.2">
      <c r="A592" s="498">
        <v>6</v>
      </c>
      <c r="B592" s="508"/>
      <c r="C592" s="508" t="s">
        <v>932</v>
      </c>
      <c r="D592" s="509" t="s">
        <v>933</v>
      </c>
      <c r="E592" s="513">
        <v>26</v>
      </c>
      <c r="F592" s="510" t="s">
        <v>934</v>
      </c>
      <c r="G592" s="492" t="s">
        <v>19</v>
      </c>
      <c r="H592" s="514">
        <v>270.39999999999998</v>
      </c>
      <c r="I592" s="235" t="s">
        <v>49</v>
      </c>
      <c r="J592" s="79" t="s">
        <v>935</v>
      </c>
      <c r="K592" s="166" t="s">
        <v>907</v>
      </c>
      <c r="L592" s="80">
        <v>143.19999999999999</v>
      </c>
      <c r="M592" s="81" t="s">
        <v>192</v>
      </c>
    </row>
    <row r="593" spans="1:13" ht="13.2">
      <c r="A593" s="498">
        <v>6</v>
      </c>
      <c r="B593" s="508"/>
      <c r="C593" s="508"/>
      <c r="D593" s="509"/>
      <c r="E593" s="513">
        <v>26</v>
      </c>
      <c r="F593" s="510" t="s">
        <v>934</v>
      </c>
      <c r="G593" s="491" t="s">
        <v>258</v>
      </c>
      <c r="H593" s="514"/>
      <c r="I593" s="235" t="s">
        <v>49</v>
      </c>
      <c r="J593" s="79" t="s">
        <v>661</v>
      </c>
      <c r="K593" s="166" t="s">
        <v>661</v>
      </c>
      <c r="L593" s="80" t="s">
        <v>661</v>
      </c>
      <c r="M593" s="81" t="s">
        <v>192</v>
      </c>
    </row>
    <row r="594" spans="1:13" ht="13.2">
      <c r="A594" s="498">
        <v>6</v>
      </c>
      <c r="B594" s="508"/>
      <c r="C594" s="508"/>
      <c r="D594" s="509"/>
      <c r="E594" s="513"/>
      <c r="F594" s="510" t="s">
        <v>934</v>
      </c>
      <c r="G594" s="515" t="s">
        <v>257</v>
      </c>
      <c r="H594" s="220">
        <f>SUM(H592:H593)</f>
        <v>270.39999999999998</v>
      </c>
      <c r="I594" s="235" t="s">
        <v>661</v>
      </c>
      <c r="J594" s="79" t="s">
        <v>661</v>
      </c>
      <c r="K594" s="166" t="s">
        <v>661</v>
      </c>
      <c r="L594" s="82" t="s">
        <v>661</v>
      </c>
      <c r="M594" s="83" t="s">
        <v>661</v>
      </c>
    </row>
    <row r="595" spans="1:13" ht="21">
      <c r="A595" s="498">
        <v>6</v>
      </c>
      <c r="B595" s="508"/>
      <c r="C595" s="508" t="s">
        <v>936</v>
      </c>
      <c r="D595" s="509" t="s">
        <v>937</v>
      </c>
      <c r="E595" s="513">
        <v>27</v>
      </c>
      <c r="F595" s="510" t="s">
        <v>938</v>
      </c>
      <c r="G595" s="492" t="s">
        <v>19</v>
      </c>
      <c r="H595" s="514">
        <v>353.2</v>
      </c>
      <c r="I595" s="235" t="s">
        <v>49</v>
      </c>
      <c r="J595" s="79" t="s">
        <v>939</v>
      </c>
      <c r="K595" s="166" t="s">
        <v>907</v>
      </c>
      <c r="L595" s="80">
        <v>91.2</v>
      </c>
      <c r="M595" s="81" t="s">
        <v>185</v>
      </c>
    </row>
    <row r="596" spans="1:13" ht="13.2">
      <c r="A596" s="498">
        <v>6</v>
      </c>
      <c r="B596" s="508"/>
      <c r="C596" s="508"/>
      <c r="D596" s="509"/>
      <c r="E596" s="513">
        <v>27</v>
      </c>
      <c r="F596" s="510" t="s">
        <v>938</v>
      </c>
      <c r="G596" s="491" t="s">
        <v>258</v>
      </c>
      <c r="H596" s="514"/>
      <c r="I596" s="235" t="s">
        <v>49</v>
      </c>
      <c r="J596" s="79" t="s">
        <v>661</v>
      </c>
      <c r="K596" s="166" t="s">
        <v>661</v>
      </c>
      <c r="L596" s="80" t="s">
        <v>661</v>
      </c>
      <c r="M596" s="81" t="s">
        <v>185</v>
      </c>
    </row>
    <row r="597" spans="1:13" ht="13.2">
      <c r="A597" s="498">
        <v>6</v>
      </c>
      <c r="B597" s="508"/>
      <c r="C597" s="508"/>
      <c r="D597" s="509"/>
      <c r="E597" s="513"/>
      <c r="F597" s="510" t="s">
        <v>938</v>
      </c>
      <c r="G597" s="515" t="s">
        <v>257</v>
      </c>
      <c r="H597" s="220">
        <f>SUM(H595:H596)</f>
        <v>353.2</v>
      </c>
      <c r="I597" s="235" t="s">
        <v>661</v>
      </c>
      <c r="J597" s="79" t="s">
        <v>661</v>
      </c>
      <c r="K597" s="166" t="s">
        <v>661</v>
      </c>
      <c r="L597" s="82" t="s">
        <v>661</v>
      </c>
      <c r="M597" s="83" t="s">
        <v>661</v>
      </c>
    </row>
    <row r="598" spans="1:13" ht="13.2">
      <c r="A598" s="498">
        <v>6</v>
      </c>
      <c r="B598" s="508"/>
      <c r="C598" s="508" t="s">
        <v>940</v>
      </c>
      <c r="D598" s="509" t="s">
        <v>941</v>
      </c>
      <c r="E598" s="513">
        <v>28</v>
      </c>
      <c r="F598" s="510" t="s">
        <v>942</v>
      </c>
      <c r="G598" s="492" t="s">
        <v>19</v>
      </c>
      <c r="H598" s="514">
        <v>148.6</v>
      </c>
      <c r="I598" s="235" t="s">
        <v>49</v>
      </c>
      <c r="J598" s="79" t="s">
        <v>943</v>
      </c>
      <c r="K598" s="166" t="s">
        <v>907</v>
      </c>
      <c r="L598" s="80">
        <v>127.6</v>
      </c>
      <c r="M598" s="81" t="s">
        <v>200</v>
      </c>
    </row>
    <row r="599" spans="1:13" ht="13.2">
      <c r="A599" s="498">
        <v>6</v>
      </c>
      <c r="B599" s="508"/>
      <c r="C599" s="508"/>
      <c r="D599" s="509"/>
      <c r="E599" s="513">
        <v>28</v>
      </c>
      <c r="F599" s="510" t="s">
        <v>942</v>
      </c>
      <c r="G599" s="491" t="s">
        <v>258</v>
      </c>
      <c r="H599" s="514"/>
      <c r="I599" s="235" t="s">
        <v>49</v>
      </c>
      <c r="J599" s="79" t="s">
        <v>661</v>
      </c>
      <c r="K599" s="166" t="s">
        <v>661</v>
      </c>
      <c r="L599" s="80" t="s">
        <v>661</v>
      </c>
      <c r="M599" s="81" t="s">
        <v>200</v>
      </c>
    </row>
    <row r="600" spans="1:13" ht="13.2">
      <c r="A600" s="498">
        <v>6</v>
      </c>
      <c r="B600" s="508"/>
      <c r="C600" s="508"/>
      <c r="D600" s="509"/>
      <c r="E600" s="513"/>
      <c r="F600" s="510" t="s">
        <v>942</v>
      </c>
      <c r="G600" s="515" t="s">
        <v>257</v>
      </c>
      <c r="H600" s="220">
        <f>SUM(H598:H599)</f>
        <v>148.6</v>
      </c>
      <c r="I600" s="235" t="s">
        <v>661</v>
      </c>
      <c r="J600" s="79" t="s">
        <v>661</v>
      </c>
      <c r="K600" s="166" t="s">
        <v>661</v>
      </c>
      <c r="L600" s="82" t="s">
        <v>661</v>
      </c>
      <c r="M600" s="83" t="s">
        <v>661</v>
      </c>
    </row>
    <row r="601" spans="1:13" ht="13.2">
      <c r="A601" s="498">
        <v>6</v>
      </c>
      <c r="B601" s="508"/>
      <c r="C601" s="508" t="s">
        <v>944</v>
      </c>
      <c r="D601" s="509" t="s">
        <v>945</v>
      </c>
      <c r="E601" s="513">
        <v>29</v>
      </c>
      <c r="F601" s="510" t="s">
        <v>946</v>
      </c>
      <c r="G601" s="492" t="s">
        <v>19</v>
      </c>
      <c r="H601" s="514">
        <v>199.1</v>
      </c>
      <c r="I601" s="235" t="s">
        <v>49</v>
      </c>
      <c r="J601" s="79" t="s">
        <v>947</v>
      </c>
      <c r="K601" s="166" t="s">
        <v>907</v>
      </c>
      <c r="L601" s="80">
        <v>151.69999999999999</v>
      </c>
      <c r="M601" s="81" t="s">
        <v>227</v>
      </c>
    </row>
    <row r="602" spans="1:13" ht="13.2">
      <c r="A602" s="498">
        <v>6</v>
      </c>
      <c r="B602" s="508"/>
      <c r="C602" s="508"/>
      <c r="D602" s="509"/>
      <c r="E602" s="513">
        <v>29</v>
      </c>
      <c r="F602" s="510" t="s">
        <v>946</v>
      </c>
      <c r="G602" s="491" t="s">
        <v>258</v>
      </c>
      <c r="H602" s="514"/>
      <c r="I602" s="235" t="s">
        <v>49</v>
      </c>
      <c r="J602" s="79" t="s">
        <v>661</v>
      </c>
      <c r="K602" s="166" t="s">
        <v>661</v>
      </c>
      <c r="L602" s="80" t="s">
        <v>661</v>
      </c>
      <c r="M602" s="81" t="s">
        <v>227</v>
      </c>
    </row>
    <row r="603" spans="1:13" ht="13.2">
      <c r="A603" s="498">
        <v>6</v>
      </c>
      <c r="B603" s="508"/>
      <c r="C603" s="508"/>
      <c r="D603" s="509"/>
      <c r="E603" s="513"/>
      <c r="F603" s="510" t="s">
        <v>946</v>
      </c>
      <c r="G603" s="515" t="s">
        <v>257</v>
      </c>
      <c r="H603" s="220">
        <f>SUM(H601:H602)</f>
        <v>199.1</v>
      </c>
      <c r="I603" s="235" t="s">
        <v>661</v>
      </c>
      <c r="J603" s="79" t="s">
        <v>661</v>
      </c>
      <c r="K603" s="166" t="s">
        <v>661</v>
      </c>
      <c r="L603" s="82" t="s">
        <v>661</v>
      </c>
      <c r="M603" s="83" t="s">
        <v>661</v>
      </c>
    </row>
    <row r="604" spans="1:13" ht="31.2">
      <c r="A604" s="498">
        <v>6</v>
      </c>
      <c r="B604" s="508"/>
      <c r="C604" s="508" t="s">
        <v>948</v>
      </c>
      <c r="D604" s="287" t="s">
        <v>949</v>
      </c>
      <c r="E604" s="513">
        <v>9</v>
      </c>
      <c r="F604" s="510" t="s">
        <v>950</v>
      </c>
      <c r="G604" s="492" t="s">
        <v>19</v>
      </c>
      <c r="H604" s="514">
        <f>500-300+60.8</f>
        <v>260.8</v>
      </c>
      <c r="I604" s="235" t="s">
        <v>49</v>
      </c>
      <c r="J604" s="79" t="s">
        <v>226</v>
      </c>
      <c r="K604" s="166" t="s">
        <v>951</v>
      </c>
      <c r="L604" s="80">
        <v>100</v>
      </c>
      <c r="M604" s="81" t="s">
        <v>661</v>
      </c>
    </row>
    <row r="605" spans="1:13" ht="13.2">
      <c r="A605" s="498">
        <v>6</v>
      </c>
      <c r="B605" s="508"/>
      <c r="C605" s="508"/>
      <c r="D605" s="287"/>
      <c r="E605" s="513"/>
      <c r="F605" s="510" t="s">
        <v>950</v>
      </c>
      <c r="G605" s="492" t="s">
        <v>258</v>
      </c>
      <c r="H605" s="514"/>
      <c r="I605" s="235" t="s">
        <v>661</v>
      </c>
      <c r="J605" s="79" t="s">
        <v>661</v>
      </c>
      <c r="K605" s="166" t="s">
        <v>661</v>
      </c>
      <c r="L605" s="80" t="s">
        <v>661</v>
      </c>
      <c r="M605" s="81" t="s">
        <v>661</v>
      </c>
    </row>
    <row r="606" spans="1:13" ht="13.2">
      <c r="A606" s="498">
        <v>6</v>
      </c>
      <c r="B606" s="508"/>
      <c r="C606" s="508"/>
      <c r="D606" s="509"/>
      <c r="E606" s="513"/>
      <c r="F606" s="510" t="s">
        <v>950</v>
      </c>
      <c r="G606" s="515" t="s">
        <v>257</v>
      </c>
      <c r="H606" s="220">
        <f>SUM(H604:H605)</f>
        <v>260.8</v>
      </c>
      <c r="I606" s="235" t="s">
        <v>661</v>
      </c>
      <c r="J606" s="79" t="s">
        <v>661</v>
      </c>
      <c r="K606" s="166" t="s">
        <v>661</v>
      </c>
      <c r="L606" s="82" t="s">
        <v>661</v>
      </c>
      <c r="M606" s="84" t="s">
        <v>661</v>
      </c>
    </row>
    <row r="607" spans="1:13" ht="31.2">
      <c r="A607" s="498">
        <v>6</v>
      </c>
      <c r="B607" s="516"/>
      <c r="C607" s="508" t="s">
        <v>952</v>
      </c>
      <c r="D607" s="517" t="s">
        <v>953</v>
      </c>
      <c r="E607" s="513" t="s">
        <v>954</v>
      </c>
      <c r="F607" s="510" t="s">
        <v>955</v>
      </c>
      <c r="G607" s="492" t="s">
        <v>19</v>
      </c>
      <c r="H607" s="518">
        <v>70</v>
      </c>
      <c r="I607" s="235" t="s">
        <v>64</v>
      </c>
      <c r="J607" s="79" t="s">
        <v>956</v>
      </c>
      <c r="K607" s="166" t="s">
        <v>951</v>
      </c>
      <c r="L607" s="80">
        <v>100</v>
      </c>
      <c r="M607" s="85" t="s">
        <v>661</v>
      </c>
    </row>
    <row r="608" spans="1:13" ht="13.2">
      <c r="A608" s="498">
        <v>6</v>
      </c>
      <c r="B608" s="516"/>
      <c r="C608" s="516"/>
      <c r="D608" s="509"/>
      <c r="E608" s="513" t="s">
        <v>954</v>
      </c>
      <c r="F608" s="510" t="s">
        <v>955</v>
      </c>
      <c r="G608" s="491" t="s">
        <v>258</v>
      </c>
      <c r="H608" s="514"/>
      <c r="I608" s="235" t="s">
        <v>64</v>
      </c>
      <c r="J608" s="76" t="s">
        <v>661</v>
      </c>
      <c r="K608" s="166" t="s">
        <v>661</v>
      </c>
      <c r="L608" s="80" t="s">
        <v>661</v>
      </c>
      <c r="M608" s="81" t="s">
        <v>661</v>
      </c>
    </row>
    <row r="609" spans="1:13" ht="13.2">
      <c r="A609" s="498">
        <v>6</v>
      </c>
      <c r="B609" s="516"/>
      <c r="C609" s="516"/>
      <c r="D609" s="509"/>
      <c r="E609" s="513"/>
      <c r="F609" s="510" t="s">
        <v>955</v>
      </c>
      <c r="G609" s="515" t="s">
        <v>257</v>
      </c>
      <c r="H609" s="220">
        <f>SUM(H607:H608)</f>
        <v>70</v>
      </c>
      <c r="I609" s="235" t="s">
        <v>661</v>
      </c>
      <c r="J609" s="79" t="s">
        <v>661</v>
      </c>
      <c r="K609" s="166" t="s">
        <v>661</v>
      </c>
      <c r="L609" s="82" t="s">
        <v>661</v>
      </c>
      <c r="M609" s="83" t="s">
        <v>661</v>
      </c>
    </row>
    <row r="610" spans="1:13" ht="20.399999999999999">
      <c r="A610" s="498">
        <v>6</v>
      </c>
      <c r="B610" s="499"/>
      <c r="C610" s="499"/>
      <c r="D610" s="500" t="s">
        <v>957</v>
      </c>
      <c r="E610" s="519"/>
      <c r="F610" s="520"/>
      <c r="G610" s="521"/>
      <c r="H610" s="522"/>
      <c r="I610" s="505" t="s">
        <v>661</v>
      </c>
      <c r="J610" s="86" t="s">
        <v>661</v>
      </c>
      <c r="K610" s="167" t="s">
        <v>661</v>
      </c>
      <c r="L610" s="87" t="s">
        <v>661</v>
      </c>
      <c r="M610" s="88" t="s">
        <v>661</v>
      </c>
    </row>
    <row r="611" spans="1:13" ht="20.399999999999999">
      <c r="A611" s="498">
        <v>6</v>
      </c>
      <c r="B611" s="231" t="s">
        <v>958</v>
      </c>
      <c r="C611" s="231" t="s">
        <v>958</v>
      </c>
      <c r="D611" s="506" t="s">
        <v>959</v>
      </c>
      <c r="E611" s="507"/>
      <c r="F611" s="507"/>
      <c r="G611" s="523"/>
      <c r="H611" s="523"/>
      <c r="I611" s="235" t="s">
        <v>661</v>
      </c>
      <c r="J611" s="79" t="s">
        <v>661</v>
      </c>
      <c r="K611" s="166" t="s">
        <v>661</v>
      </c>
      <c r="L611" s="82" t="s">
        <v>661</v>
      </c>
      <c r="M611" s="83" t="s">
        <v>661</v>
      </c>
    </row>
    <row r="612" spans="1:13" ht="20.399999999999999">
      <c r="A612" s="498">
        <v>6</v>
      </c>
      <c r="B612" s="508"/>
      <c r="C612" s="820"/>
      <c r="D612" s="509"/>
      <c r="E612" s="510"/>
      <c r="F612" s="821"/>
      <c r="G612" s="511" t="s">
        <v>900</v>
      </c>
      <c r="H612" s="511">
        <f>SUM(H623,H626,H627,H628,H629,H646,H659,H630,H631,H637,H639,H625,H622,H662,H663,H640,H642,H643,H644,H645)</f>
        <v>2671.1000000000004</v>
      </c>
      <c r="I612" s="235" t="s">
        <v>661</v>
      </c>
      <c r="J612" s="79" t="s">
        <v>661</v>
      </c>
      <c r="K612" s="168" t="s">
        <v>661</v>
      </c>
      <c r="L612" s="89" t="s">
        <v>661</v>
      </c>
      <c r="M612" s="90" t="s">
        <v>661</v>
      </c>
    </row>
    <row r="613" spans="1:13" ht="13.2">
      <c r="A613" s="498">
        <v>6</v>
      </c>
      <c r="B613" s="508"/>
      <c r="C613" s="820"/>
      <c r="D613" s="509"/>
      <c r="E613" s="510"/>
      <c r="F613" s="821"/>
      <c r="G613" s="511" t="s">
        <v>22</v>
      </c>
      <c r="H613" s="511">
        <f>SUM(H624,H633,H664,H661)</f>
        <v>31.2</v>
      </c>
      <c r="I613" s="235" t="s">
        <v>661</v>
      </c>
      <c r="J613" s="79" t="s">
        <v>661</v>
      </c>
      <c r="K613" s="169" t="s">
        <v>661</v>
      </c>
      <c r="L613" s="89" t="s">
        <v>661</v>
      </c>
      <c r="M613" s="92" t="s">
        <v>661</v>
      </c>
    </row>
    <row r="614" spans="1:13" ht="13.2">
      <c r="A614" s="498">
        <v>6</v>
      </c>
      <c r="B614" s="508"/>
      <c r="C614" s="820"/>
      <c r="D614" s="509"/>
      <c r="E614" s="510"/>
      <c r="F614" s="821"/>
      <c r="G614" s="511" t="s">
        <v>606</v>
      </c>
      <c r="H614" s="511"/>
      <c r="I614" s="235" t="s">
        <v>661</v>
      </c>
      <c r="J614" s="79" t="s">
        <v>661</v>
      </c>
      <c r="K614" s="166" t="s">
        <v>661</v>
      </c>
      <c r="L614" s="89" t="s">
        <v>661</v>
      </c>
      <c r="M614" s="93" t="s">
        <v>661</v>
      </c>
    </row>
    <row r="615" spans="1:13" ht="13.2">
      <c r="A615" s="498">
        <v>6</v>
      </c>
      <c r="B615" s="508"/>
      <c r="C615" s="820"/>
      <c r="D615" s="509"/>
      <c r="E615" s="510"/>
      <c r="F615" s="821"/>
      <c r="G615" s="511" t="s">
        <v>21</v>
      </c>
      <c r="H615" s="511">
        <f>SUM(H636)</f>
        <v>1159</v>
      </c>
      <c r="I615" s="235" t="s">
        <v>661</v>
      </c>
      <c r="J615" s="79" t="s">
        <v>661</v>
      </c>
      <c r="K615" s="166" t="s">
        <v>661</v>
      </c>
      <c r="L615" s="89" t="s">
        <v>661</v>
      </c>
      <c r="M615" s="93" t="s">
        <v>661</v>
      </c>
    </row>
    <row r="616" spans="1:13" ht="13.2">
      <c r="A616" s="498">
        <v>6</v>
      </c>
      <c r="B616" s="508"/>
      <c r="C616" s="820"/>
      <c r="D616" s="509"/>
      <c r="E616" s="510"/>
      <c r="F616" s="821"/>
      <c r="G616" s="511" t="s">
        <v>960</v>
      </c>
      <c r="H616" s="511">
        <f>SUM(H638)</f>
        <v>0</v>
      </c>
      <c r="I616" s="235" t="s">
        <v>661</v>
      </c>
      <c r="J616" s="79" t="s">
        <v>661</v>
      </c>
      <c r="K616" s="166" t="s">
        <v>661</v>
      </c>
      <c r="L616" s="89" t="s">
        <v>661</v>
      </c>
      <c r="M616" s="93" t="s">
        <v>661</v>
      </c>
    </row>
    <row r="617" spans="1:13" ht="13.2">
      <c r="A617" s="498">
        <v>6</v>
      </c>
      <c r="B617" s="508"/>
      <c r="C617" s="820"/>
      <c r="D617" s="509"/>
      <c r="E617" s="510"/>
      <c r="F617" s="821"/>
      <c r="G617" s="511" t="s">
        <v>178</v>
      </c>
      <c r="H617" s="511">
        <f>SUM(H632,H647,)</f>
        <v>1200</v>
      </c>
      <c r="I617" s="235"/>
      <c r="J617" s="79"/>
      <c r="K617" s="166"/>
      <c r="L617" s="89"/>
      <c r="M617" s="93"/>
    </row>
    <row r="618" spans="1:13" ht="13.2">
      <c r="A618" s="498">
        <v>6</v>
      </c>
      <c r="B618" s="508"/>
      <c r="C618" s="820"/>
      <c r="D618" s="509"/>
      <c r="E618" s="510"/>
      <c r="F618" s="821"/>
      <c r="G618" s="511" t="s">
        <v>56</v>
      </c>
      <c r="H618" s="511">
        <f>SUM(H635)</f>
        <v>645.70000000000005</v>
      </c>
      <c r="I618" s="235" t="s">
        <v>661</v>
      </c>
      <c r="J618" s="79" t="s">
        <v>661</v>
      </c>
      <c r="K618" s="166" t="s">
        <v>661</v>
      </c>
      <c r="L618" s="94" t="s">
        <v>661</v>
      </c>
      <c r="M618" s="95" t="s">
        <v>661</v>
      </c>
    </row>
    <row r="619" spans="1:13" ht="13.2">
      <c r="A619" s="498">
        <v>6</v>
      </c>
      <c r="B619" s="508"/>
      <c r="C619" s="820"/>
      <c r="D619" s="509"/>
      <c r="E619" s="510"/>
      <c r="F619" s="821"/>
      <c r="G619" s="511" t="s">
        <v>177</v>
      </c>
      <c r="H619" s="511">
        <f>H634</f>
        <v>97.199999999999989</v>
      </c>
      <c r="I619" s="235" t="s">
        <v>661</v>
      </c>
      <c r="J619" s="79" t="s">
        <v>661</v>
      </c>
      <c r="K619" s="166" t="s">
        <v>661</v>
      </c>
      <c r="L619" s="94" t="s">
        <v>661</v>
      </c>
      <c r="M619" s="96" t="s">
        <v>661</v>
      </c>
    </row>
    <row r="620" spans="1:13" ht="13.2">
      <c r="A620" s="498">
        <v>6</v>
      </c>
      <c r="B620" s="508"/>
      <c r="C620" s="508"/>
      <c r="D620" s="509"/>
      <c r="E620" s="510"/>
      <c r="F620" s="821"/>
      <c r="G620" s="511" t="s">
        <v>259</v>
      </c>
      <c r="H620" s="511">
        <f>SUM(H648,H641)</f>
        <v>525.79999999999995</v>
      </c>
      <c r="I620" s="202"/>
      <c r="J620" s="155"/>
      <c r="K620" s="161"/>
      <c r="L620" s="45"/>
      <c r="M620" s="85"/>
    </row>
    <row r="621" spans="1:13" ht="13.2">
      <c r="A621" s="498">
        <v>6</v>
      </c>
      <c r="B621" s="508"/>
      <c r="C621" s="508"/>
      <c r="D621" s="524"/>
      <c r="E621" s="510"/>
      <c r="F621" s="821"/>
      <c r="G621" s="511" t="s">
        <v>24</v>
      </c>
      <c r="H621" s="511">
        <f>SUM(H612:H620)</f>
        <v>6330</v>
      </c>
      <c r="I621" s="202"/>
      <c r="J621" s="155"/>
      <c r="K621" s="161"/>
      <c r="L621" s="45"/>
      <c r="M621" s="85"/>
    </row>
    <row r="622" spans="1:13" ht="20.399999999999999">
      <c r="A622" s="498">
        <v>6</v>
      </c>
      <c r="B622" s="508"/>
      <c r="C622" s="508" t="s">
        <v>961</v>
      </c>
      <c r="D622" s="524" t="s">
        <v>962</v>
      </c>
      <c r="E622" s="498">
        <v>9</v>
      </c>
      <c r="F622" s="528" t="s">
        <v>963</v>
      </c>
      <c r="G622" s="526" t="s">
        <v>19</v>
      </c>
      <c r="H622" s="529">
        <v>16</v>
      </c>
      <c r="I622" s="235" t="s">
        <v>198</v>
      </c>
      <c r="J622" s="79" t="s">
        <v>964</v>
      </c>
      <c r="K622" s="166" t="s">
        <v>965</v>
      </c>
      <c r="L622" s="80">
        <v>1</v>
      </c>
      <c r="M622" s="81" t="s">
        <v>185</v>
      </c>
    </row>
    <row r="623" spans="1:13" ht="21">
      <c r="A623" s="498">
        <v>6</v>
      </c>
      <c r="B623" s="530"/>
      <c r="C623" s="508" t="s">
        <v>966</v>
      </c>
      <c r="D623" s="999" t="s">
        <v>967</v>
      </c>
      <c r="E623" s="498">
        <v>9</v>
      </c>
      <c r="F623" s="531" t="s">
        <v>968</v>
      </c>
      <c r="G623" s="526" t="s">
        <v>19</v>
      </c>
      <c r="H623" s="529">
        <v>83</v>
      </c>
      <c r="I623" s="235" t="s">
        <v>58</v>
      </c>
      <c r="J623" s="79" t="s">
        <v>183</v>
      </c>
      <c r="K623" s="166" t="s">
        <v>969</v>
      </c>
      <c r="L623" s="82">
        <v>100</v>
      </c>
      <c r="M623" s="81" t="s">
        <v>185</v>
      </c>
    </row>
    <row r="624" spans="1:13" ht="13.2">
      <c r="A624" s="498">
        <v>6</v>
      </c>
      <c r="B624" s="530"/>
      <c r="C624" s="508" t="s">
        <v>966</v>
      </c>
      <c r="D624" s="1000"/>
      <c r="E624" s="513">
        <v>9</v>
      </c>
      <c r="F624" s="532" t="s">
        <v>968</v>
      </c>
      <c r="G624" s="526" t="s">
        <v>22</v>
      </c>
      <c r="H624" s="529"/>
      <c r="I624" s="533" t="s">
        <v>58</v>
      </c>
      <c r="J624" s="79" t="s">
        <v>661</v>
      </c>
      <c r="K624" s="167" t="s">
        <v>661</v>
      </c>
      <c r="L624" s="87" t="s">
        <v>661</v>
      </c>
      <c r="M624" s="97" t="s">
        <v>185</v>
      </c>
    </row>
    <row r="625" spans="1:13" ht="31.2">
      <c r="A625" s="498">
        <v>6</v>
      </c>
      <c r="B625" s="530"/>
      <c r="C625" s="530" t="s">
        <v>970</v>
      </c>
      <c r="D625" s="278" t="s">
        <v>971</v>
      </c>
      <c r="E625" s="534">
        <v>9</v>
      </c>
      <c r="F625" s="531" t="s">
        <v>972</v>
      </c>
      <c r="G625" s="281" t="s">
        <v>19</v>
      </c>
      <c r="H625" s="529">
        <f>300+45-345</f>
        <v>0</v>
      </c>
      <c r="I625" s="533" t="s">
        <v>198</v>
      </c>
      <c r="J625" s="91" t="s">
        <v>973</v>
      </c>
      <c r="K625" s="169" t="s">
        <v>974</v>
      </c>
      <c r="L625" s="98" t="s">
        <v>975</v>
      </c>
      <c r="M625" s="99" t="s">
        <v>67</v>
      </c>
    </row>
    <row r="626" spans="1:13" ht="21">
      <c r="A626" s="498">
        <v>6</v>
      </c>
      <c r="B626" s="508"/>
      <c r="C626" s="508" t="s">
        <v>976</v>
      </c>
      <c r="D626" s="256" t="s">
        <v>977</v>
      </c>
      <c r="E626" s="513">
        <v>9</v>
      </c>
      <c r="F626" s="531" t="s">
        <v>978</v>
      </c>
      <c r="G626" s="526" t="s">
        <v>19</v>
      </c>
      <c r="H626" s="529">
        <v>118</v>
      </c>
      <c r="I626" s="533" t="s">
        <v>58</v>
      </c>
      <c r="J626" s="79" t="s">
        <v>979</v>
      </c>
      <c r="K626" s="166" t="s">
        <v>980</v>
      </c>
      <c r="L626" s="100">
        <v>100</v>
      </c>
      <c r="M626" s="83" t="s">
        <v>67</v>
      </c>
    </row>
    <row r="627" spans="1:13" ht="13.2">
      <c r="A627" s="498">
        <v>6</v>
      </c>
      <c r="B627" s="535"/>
      <c r="C627" s="535" t="s">
        <v>981</v>
      </c>
      <c r="D627" s="536" t="s">
        <v>982</v>
      </c>
      <c r="E627" s="537">
        <v>9</v>
      </c>
      <c r="F627" s="538" t="s">
        <v>983</v>
      </c>
      <c r="G627" s="539" t="s">
        <v>19</v>
      </c>
      <c r="H627" s="529">
        <f>120-120</f>
        <v>0</v>
      </c>
      <c r="I627" s="533" t="s">
        <v>198</v>
      </c>
      <c r="J627" s="79"/>
      <c r="K627" s="166"/>
      <c r="L627" s="98"/>
      <c r="M627" s="83" t="s">
        <v>67</v>
      </c>
    </row>
    <row r="628" spans="1:13" ht="13.2">
      <c r="A628" s="498">
        <v>6</v>
      </c>
      <c r="B628" s="540"/>
      <c r="C628" s="540" t="s">
        <v>984</v>
      </c>
      <c r="D628" s="541" t="s">
        <v>985</v>
      </c>
      <c r="E628" s="542">
        <v>9</v>
      </c>
      <c r="F628" s="543" t="s">
        <v>986</v>
      </c>
      <c r="G628" s="544" t="s">
        <v>19</v>
      </c>
      <c r="H628" s="545">
        <v>50</v>
      </c>
      <c r="I628" s="533" t="s">
        <v>58</v>
      </c>
      <c r="J628" s="79" t="s">
        <v>979</v>
      </c>
      <c r="K628" s="166" t="s">
        <v>987</v>
      </c>
      <c r="L628" s="100">
        <v>1</v>
      </c>
      <c r="M628" s="83" t="s">
        <v>67</v>
      </c>
    </row>
    <row r="629" spans="1:13" ht="40.799999999999997">
      <c r="A629" s="498">
        <v>6</v>
      </c>
      <c r="B629" s="540"/>
      <c r="C629" s="540" t="s">
        <v>988</v>
      </c>
      <c r="D629" s="525" t="s">
        <v>989</v>
      </c>
      <c r="E629" s="542">
        <v>9</v>
      </c>
      <c r="F629" s="546" t="s">
        <v>990</v>
      </c>
      <c r="G629" s="547" t="s">
        <v>19</v>
      </c>
      <c r="H629" s="545">
        <f>300</f>
        <v>300</v>
      </c>
      <c r="I629" s="235" t="s">
        <v>198</v>
      </c>
      <c r="J629" s="79" t="s">
        <v>183</v>
      </c>
      <c r="K629" s="166" t="s">
        <v>991</v>
      </c>
      <c r="L629" s="100">
        <v>10</v>
      </c>
      <c r="M629" s="83" t="s">
        <v>67</v>
      </c>
    </row>
    <row r="630" spans="1:13" ht="21">
      <c r="A630" s="498">
        <v>6</v>
      </c>
      <c r="B630" s="508"/>
      <c r="C630" s="535" t="s">
        <v>992</v>
      </c>
      <c r="D630" s="822" t="s">
        <v>993</v>
      </c>
      <c r="E630" s="537">
        <v>9</v>
      </c>
      <c r="F630" s="548" t="s">
        <v>994</v>
      </c>
      <c r="G630" s="549" t="s">
        <v>19</v>
      </c>
      <c r="H630" s="550">
        <v>50</v>
      </c>
      <c r="I630" s="235" t="s">
        <v>198</v>
      </c>
      <c r="J630" s="79" t="s">
        <v>183</v>
      </c>
      <c r="K630" s="166" t="s">
        <v>995</v>
      </c>
      <c r="L630" s="100">
        <v>1</v>
      </c>
      <c r="M630" s="84" t="s">
        <v>228</v>
      </c>
    </row>
    <row r="631" spans="1:13" ht="13.2">
      <c r="A631" s="498">
        <v>6</v>
      </c>
      <c r="B631" s="508"/>
      <c r="C631" s="540" t="s">
        <v>996</v>
      </c>
      <c r="D631" s="1001" t="s">
        <v>997</v>
      </c>
      <c r="E631" s="555">
        <v>9</v>
      </c>
      <c r="F631" s="554" t="s">
        <v>998</v>
      </c>
      <c r="G631" s="556" t="s">
        <v>19</v>
      </c>
      <c r="H631" s="545">
        <f>1045-900</f>
        <v>145</v>
      </c>
      <c r="I631" s="533" t="s">
        <v>182</v>
      </c>
      <c r="J631" s="79" t="s">
        <v>999</v>
      </c>
      <c r="K631" s="166" t="s">
        <v>991</v>
      </c>
      <c r="L631" s="100">
        <v>100</v>
      </c>
      <c r="M631" s="84" t="s">
        <v>185</v>
      </c>
    </row>
    <row r="632" spans="1:13" ht="13.2">
      <c r="A632" s="498">
        <v>6</v>
      </c>
      <c r="B632" s="535"/>
      <c r="C632" s="540" t="s">
        <v>996</v>
      </c>
      <c r="D632" s="1001"/>
      <c r="E632" s="555">
        <v>9</v>
      </c>
      <c r="F632" s="554" t="s">
        <v>998</v>
      </c>
      <c r="G632" s="492" t="s">
        <v>178</v>
      </c>
      <c r="H632" s="545">
        <v>900</v>
      </c>
      <c r="I632" s="533"/>
      <c r="J632" s="79" t="s">
        <v>999</v>
      </c>
      <c r="K632" s="166"/>
      <c r="L632" s="100"/>
      <c r="M632" s="101"/>
    </row>
    <row r="633" spans="1:13" ht="13.2">
      <c r="A633" s="498">
        <v>6</v>
      </c>
      <c r="B633" s="535"/>
      <c r="C633" s="540" t="s">
        <v>996</v>
      </c>
      <c r="D633" s="1002"/>
      <c r="E633" s="542">
        <v>9</v>
      </c>
      <c r="F633" s="554" t="s">
        <v>998</v>
      </c>
      <c r="G633" s="547" t="s">
        <v>22</v>
      </c>
      <c r="H633" s="553"/>
      <c r="I633" s="533" t="s">
        <v>182</v>
      </c>
      <c r="J633" s="79" t="s">
        <v>999</v>
      </c>
      <c r="K633" s="166"/>
      <c r="L633" s="100"/>
      <c r="M633" s="101" t="s">
        <v>185</v>
      </c>
    </row>
    <row r="634" spans="1:13" ht="13.2">
      <c r="A634" s="498">
        <v>6</v>
      </c>
      <c r="B634" s="535"/>
      <c r="C634" s="540" t="s">
        <v>996</v>
      </c>
      <c r="D634" s="1002"/>
      <c r="E634" s="542">
        <v>9</v>
      </c>
      <c r="F634" s="554" t="s">
        <v>998</v>
      </c>
      <c r="G634" s="547" t="s">
        <v>177</v>
      </c>
      <c r="H634" s="553">
        <v>97.199999999999989</v>
      </c>
      <c r="I634" s="533" t="s">
        <v>182</v>
      </c>
      <c r="J634" s="76" t="s">
        <v>999</v>
      </c>
      <c r="K634" s="166" t="s">
        <v>661</v>
      </c>
      <c r="L634" s="82" t="s">
        <v>661</v>
      </c>
      <c r="M634" s="83" t="s">
        <v>185</v>
      </c>
    </row>
    <row r="635" spans="1:13" ht="13.2">
      <c r="A635" s="498">
        <v>6</v>
      </c>
      <c r="B635" s="508"/>
      <c r="C635" s="540" t="s">
        <v>996</v>
      </c>
      <c r="D635" s="1002"/>
      <c r="E635" s="557">
        <v>9</v>
      </c>
      <c r="F635" s="554" t="s">
        <v>998</v>
      </c>
      <c r="G635" s="558" t="s">
        <v>56</v>
      </c>
      <c r="H635" s="553">
        <v>645.70000000000005</v>
      </c>
      <c r="I635" s="533" t="s">
        <v>182</v>
      </c>
      <c r="J635" s="76" t="s">
        <v>999</v>
      </c>
      <c r="K635" s="166" t="s">
        <v>661</v>
      </c>
      <c r="L635" s="82" t="s">
        <v>661</v>
      </c>
      <c r="M635" s="83" t="s">
        <v>185</v>
      </c>
    </row>
    <row r="636" spans="1:13" ht="31.2">
      <c r="A636" s="498">
        <v>6</v>
      </c>
      <c r="B636" s="560"/>
      <c r="C636" s="540" t="s">
        <v>1000</v>
      </c>
      <c r="D636" s="561" t="s">
        <v>1001</v>
      </c>
      <c r="E636" s="562">
        <v>9</v>
      </c>
      <c r="F636" s="563" t="s">
        <v>1002</v>
      </c>
      <c r="G636" s="564" t="s">
        <v>21</v>
      </c>
      <c r="H636" s="529">
        <v>1159</v>
      </c>
      <c r="I636" s="533" t="s">
        <v>58</v>
      </c>
      <c r="J636" s="79" t="s">
        <v>964</v>
      </c>
      <c r="K636" s="166" t="s">
        <v>1003</v>
      </c>
      <c r="L636" s="82">
        <v>1</v>
      </c>
      <c r="M636" s="83" t="s">
        <v>192</v>
      </c>
    </row>
    <row r="637" spans="1:13" ht="25.5" customHeight="1">
      <c r="A637" s="498">
        <v>6</v>
      </c>
      <c r="B637" s="508"/>
      <c r="C637" s="540" t="s">
        <v>1004</v>
      </c>
      <c r="D637" s="989" t="s">
        <v>1005</v>
      </c>
      <c r="E637" s="513">
        <v>9</v>
      </c>
      <c r="F637" s="510" t="s">
        <v>1006</v>
      </c>
      <c r="G637" s="281" t="s">
        <v>19</v>
      </c>
      <c r="H637" s="565">
        <v>100</v>
      </c>
      <c r="I637" s="235" t="s">
        <v>182</v>
      </c>
      <c r="J637" s="79" t="s">
        <v>964</v>
      </c>
      <c r="K637" s="166" t="s">
        <v>1007</v>
      </c>
      <c r="L637" s="82">
        <v>100</v>
      </c>
      <c r="M637" s="97" t="s">
        <v>192</v>
      </c>
    </row>
    <row r="638" spans="1:13" ht="15" customHeight="1">
      <c r="A638" s="498">
        <v>6</v>
      </c>
      <c r="B638" s="508"/>
      <c r="C638" s="540" t="s">
        <v>1004</v>
      </c>
      <c r="D638" s="990"/>
      <c r="E638" s="513">
        <v>9</v>
      </c>
      <c r="F638" s="510" t="s">
        <v>1006</v>
      </c>
      <c r="G638" s="526" t="s">
        <v>1008</v>
      </c>
      <c r="H638" s="565"/>
      <c r="I638" s="235" t="s">
        <v>182</v>
      </c>
      <c r="J638" s="79" t="s">
        <v>661</v>
      </c>
      <c r="K638" s="166" t="s">
        <v>661</v>
      </c>
      <c r="L638" s="82" t="s">
        <v>661</v>
      </c>
      <c r="M638" s="97" t="s">
        <v>192</v>
      </c>
    </row>
    <row r="639" spans="1:13" ht="21">
      <c r="A639" s="498">
        <v>6</v>
      </c>
      <c r="B639" s="508"/>
      <c r="C639" s="566" t="s">
        <v>1009</v>
      </c>
      <c r="D639" s="256" t="s">
        <v>1010</v>
      </c>
      <c r="E639" s="513">
        <v>26</v>
      </c>
      <c r="F639" s="510" t="s">
        <v>1011</v>
      </c>
      <c r="G639" s="281" t="s">
        <v>19</v>
      </c>
      <c r="H639" s="529">
        <v>81.7</v>
      </c>
      <c r="I639" s="235" t="s">
        <v>198</v>
      </c>
      <c r="J639" s="79" t="s">
        <v>1012</v>
      </c>
      <c r="K639" s="166" t="s">
        <v>1013</v>
      </c>
      <c r="L639" s="82">
        <v>100</v>
      </c>
      <c r="M639" s="97" t="s">
        <v>192</v>
      </c>
    </row>
    <row r="640" spans="1:13" ht="23.25" customHeight="1">
      <c r="A640" s="498">
        <v>6</v>
      </c>
      <c r="B640" s="560"/>
      <c r="C640" s="540" t="s">
        <v>1014</v>
      </c>
      <c r="D640" s="991" t="s">
        <v>1015</v>
      </c>
      <c r="E640" s="513">
        <v>9</v>
      </c>
      <c r="F640" s="567" t="s">
        <v>1016</v>
      </c>
      <c r="G640" s="281" t="s">
        <v>19</v>
      </c>
      <c r="H640" s="565"/>
      <c r="I640" s="235" t="s">
        <v>198</v>
      </c>
      <c r="J640" s="103" t="s">
        <v>964</v>
      </c>
      <c r="K640" s="164" t="s">
        <v>1017</v>
      </c>
      <c r="L640" s="102">
        <v>1</v>
      </c>
      <c r="M640" s="97" t="s">
        <v>185</v>
      </c>
    </row>
    <row r="641" spans="1:13" ht="13.2">
      <c r="A641" s="498">
        <v>6</v>
      </c>
      <c r="B641" s="560"/>
      <c r="C641" s="568" t="s">
        <v>1014</v>
      </c>
      <c r="D641" s="992"/>
      <c r="E641" s="513">
        <v>9</v>
      </c>
      <c r="F641" s="567" t="s">
        <v>1016</v>
      </c>
      <c r="G641" s="281" t="s">
        <v>259</v>
      </c>
      <c r="H641" s="565"/>
      <c r="I641" s="235" t="s">
        <v>661</v>
      </c>
      <c r="J641" s="103" t="s">
        <v>661</v>
      </c>
      <c r="K641" s="164" t="s">
        <v>661</v>
      </c>
      <c r="L641" s="102" t="s">
        <v>661</v>
      </c>
      <c r="M641" s="97" t="s">
        <v>661</v>
      </c>
    </row>
    <row r="642" spans="1:13" ht="20.399999999999999">
      <c r="A642" s="498">
        <v>6</v>
      </c>
      <c r="B642" s="560"/>
      <c r="C642" s="568" t="s">
        <v>1018</v>
      </c>
      <c r="D642" s="569" t="s">
        <v>1019</v>
      </c>
      <c r="E642" s="513">
        <v>9</v>
      </c>
      <c r="F642" s="567" t="s">
        <v>1020</v>
      </c>
      <c r="G642" s="281" t="s">
        <v>19</v>
      </c>
      <c r="H642" s="529">
        <f>300-150</f>
        <v>150</v>
      </c>
      <c r="I642" s="235" t="s">
        <v>198</v>
      </c>
      <c r="J642" s="103" t="s">
        <v>217</v>
      </c>
      <c r="K642" s="164" t="s">
        <v>1021</v>
      </c>
      <c r="L642" s="102">
        <v>100</v>
      </c>
      <c r="M642" s="97" t="s">
        <v>228</v>
      </c>
    </row>
    <row r="643" spans="1:13" ht="20.399999999999999">
      <c r="A643" s="498">
        <v>6</v>
      </c>
      <c r="B643" s="560"/>
      <c r="C643" s="540" t="s">
        <v>1022</v>
      </c>
      <c r="D643" s="569" t="s">
        <v>1023</v>
      </c>
      <c r="E643" s="513">
        <v>9</v>
      </c>
      <c r="F643" s="567" t="s">
        <v>1024</v>
      </c>
      <c r="G643" s="281" t="s">
        <v>19</v>
      </c>
      <c r="H643" s="529">
        <v>65</v>
      </c>
      <c r="I643" s="235" t="s">
        <v>198</v>
      </c>
      <c r="J643" s="103" t="s">
        <v>1025</v>
      </c>
      <c r="K643" s="164" t="s">
        <v>1003</v>
      </c>
      <c r="L643" s="102">
        <v>1</v>
      </c>
      <c r="M643" s="97" t="s">
        <v>228</v>
      </c>
    </row>
    <row r="644" spans="1:13" ht="20.399999999999999">
      <c r="A644" s="498">
        <v>6</v>
      </c>
      <c r="B644" s="560"/>
      <c r="C644" s="568" t="s">
        <v>1026</v>
      </c>
      <c r="D644" s="569" t="s">
        <v>1027</v>
      </c>
      <c r="E644" s="513">
        <v>9</v>
      </c>
      <c r="F644" s="567" t="s">
        <v>1028</v>
      </c>
      <c r="G644" s="281" t="s">
        <v>19</v>
      </c>
      <c r="H644" s="565">
        <v>40</v>
      </c>
      <c r="I644" s="235" t="s">
        <v>198</v>
      </c>
      <c r="J644" s="103" t="s">
        <v>979</v>
      </c>
      <c r="K644" s="164" t="s">
        <v>1003</v>
      </c>
      <c r="L644" s="102">
        <v>1</v>
      </c>
      <c r="M644" s="97" t="s">
        <v>228</v>
      </c>
    </row>
    <row r="645" spans="1:13" ht="30.6">
      <c r="A645" s="498">
        <v>6</v>
      </c>
      <c r="B645" s="560"/>
      <c r="C645" s="540" t="s">
        <v>1029</v>
      </c>
      <c r="D645" s="569" t="s">
        <v>1030</v>
      </c>
      <c r="E645" s="513">
        <v>9</v>
      </c>
      <c r="F645" s="567" t="s">
        <v>1031</v>
      </c>
      <c r="G645" s="281" t="s">
        <v>19</v>
      </c>
      <c r="H645" s="565">
        <v>30</v>
      </c>
      <c r="I645" s="235" t="s">
        <v>198</v>
      </c>
      <c r="J645" s="103" t="s">
        <v>226</v>
      </c>
      <c r="K645" s="164" t="s">
        <v>1021</v>
      </c>
      <c r="L645" s="102">
        <v>100</v>
      </c>
      <c r="M645" s="97" t="s">
        <v>222</v>
      </c>
    </row>
    <row r="646" spans="1:13" ht="20.25" customHeight="1">
      <c r="A646" s="498">
        <v>6</v>
      </c>
      <c r="B646" s="508"/>
      <c r="C646" s="570" t="s">
        <v>1032</v>
      </c>
      <c r="D646" s="993" t="s">
        <v>1033</v>
      </c>
      <c r="E646" s="498">
        <v>9</v>
      </c>
      <c r="F646" s="492" t="s">
        <v>1034</v>
      </c>
      <c r="G646" s="571" t="s">
        <v>19</v>
      </c>
      <c r="H646" s="565">
        <f>SUM(H650,H651,H653,H654,H655,H656,H657)</f>
        <v>225.8</v>
      </c>
      <c r="I646" s="235" t="s">
        <v>64</v>
      </c>
      <c r="J646" s="79" t="s">
        <v>217</v>
      </c>
      <c r="K646" s="166" t="s">
        <v>661</v>
      </c>
      <c r="L646" s="80" t="s">
        <v>661</v>
      </c>
      <c r="M646" s="81" t="s">
        <v>661</v>
      </c>
    </row>
    <row r="647" spans="1:13" ht="13.2">
      <c r="A647" s="498">
        <v>6</v>
      </c>
      <c r="B647" s="508"/>
      <c r="C647" s="570"/>
      <c r="D647" s="994"/>
      <c r="E647" s="498">
        <v>9</v>
      </c>
      <c r="F647" s="492" t="s">
        <v>1034</v>
      </c>
      <c r="G647" s="492" t="s">
        <v>178</v>
      </c>
      <c r="H647" s="565">
        <f>SUM(H652,H658)</f>
        <v>300</v>
      </c>
      <c r="I647" s="235"/>
      <c r="J647" s="79"/>
      <c r="K647" s="166"/>
      <c r="L647" s="80"/>
      <c r="M647" s="81"/>
    </row>
    <row r="648" spans="1:13" ht="19.5" customHeight="1">
      <c r="A648" s="498">
        <v>6</v>
      </c>
      <c r="B648" s="508"/>
      <c r="C648" s="508"/>
      <c r="D648" s="995"/>
      <c r="E648" s="498">
        <v>9</v>
      </c>
      <c r="F648" s="492" t="s">
        <v>1034</v>
      </c>
      <c r="G648" s="571" t="s">
        <v>259</v>
      </c>
      <c r="H648" s="514">
        <f>H646+H647</f>
        <v>525.79999999999995</v>
      </c>
      <c r="I648" s="235" t="s">
        <v>661</v>
      </c>
      <c r="J648" s="79" t="s">
        <v>661</v>
      </c>
      <c r="K648" s="166" t="s">
        <v>661</v>
      </c>
      <c r="L648" s="80" t="s">
        <v>661</v>
      </c>
      <c r="M648" s="81" t="s">
        <v>661</v>
      </c>
    </row>
    <row r="649" spans="1:13" ht="13.2">
      <c r="A649" s="498">
        <v>6</v>
      </c>
      <c r="B649" s="508"/>
      <c r="C649" s="508"/>
      <c r="D649" s="235"/>
      <c r="E649" s="513"/>
      <c r="F649" s="492" t="s">
        <v>1034</v>
      </c>
      <c r="G649" s="515" t="s">
        <v>257</v>
      </c>
      <c r="H649" s="220">
        <f>SUM(H646:H648)</f>
        <v>1051.5999999999999</v>
      </c>
      <c r="I649" s="235" t="s">
        <v>661</v>
      </c>
      <c r="J649" s="79" t="s">
        <v>661</v>
      </c>
      <c r="K649" s="166" t="s">
        <v>661</v>
      </c>
      <c r="L649" s="82" t="s">
        <v>661</v>
      </c>
      <c r="M649" s="83" t="s">
        <v>661</v>
      </c>
    </row>
    <row r="650" spans="1:13" ht="13.2">
      <c r="A650" s="498">
        <v>6</v>
      </c>
      <c r="B650" s="508"/>
      <c r="C650" s="508"/>
      <c r="D650" s="572" t="s">
        <v>1035</v>
      </c>
      <c r="E650" s="498">
        <v>9</v>
      </c>
      <c r="F650" s="492" t="s">
        <v>1034</v>
      </c>
      <c r="G650" s="573" t="s">
        <v>19</v>
      </c>
      <c r="H650" s="219"/>
      <c r="I650" s="235" t="s">
        <v>198</v>
      </c>
      <c r="J650" s="79" t="s">
        <v>217</v>
      </c>
      <c r="K650" s="166" t="s">
        <v>661</v>
      </c>
      <c r="L650" s="82" t="s">
        <v>661</v>
      </c>
      <c r="M650" s="83" t="s">
        <v>189</v>
      </c>
    </row>
    <row r="651" spans="1:13" ht="13.2">
      <c r="A651" s="498">
        <v>6</v>
      </c>
      <c r="B651" s="508"/>
      <c r="C651" s="508"/>
      <c r="D651" s="572" t="s">
        <v>1036</v>
      </c>
      <c r="E651" s="498">
        <v>9</v>
      </c>
      <c r="F651" s="492" t="s">
        <v>1034</v>
      </c>
      <c r="G651" s="573" t="s">
        <v>19</v>
      </c>
      <c r="H651" s="219">
        <f>170-100</f>
        <v>70</v>
      </c>
      <c r="I651" s="235" t="s">
        <v>198</v>
      </c>
      <c r="J651" s="79" t="s">
        <v>217</v>
      </c>
      <c r="K651" s="164" t="s">
        <v>1021</v>
      </c>
      <c r="L651" s="102">
        <v>90</v>
      </c>
      <c r="M651" s="83" t="s">
        <v>562</v>
      </c>
    </row>
    <row r="652" spans="1:13" ht="13.2">
      <c r="A652" s="498">
        <v>6</v>
      </c>
      <c r="B652" s="535"/>
      <c r="C652" s="508"/>
      <c r="D652" s="574"/>
      <c r="E652" s="498">
        <v>9</v>
      </c>
      <c r="F652" s="492" t="s">
        <v>1034</v>
      </c>
      <c r="G652" s="492" t="s">
        <v>178</v>
      </c>
      <c r="H652" s="575">
        <f>100</f>
        <v>100</v>
      </c>
      <c r="I652" s="235"/>
      <c r="J652" s="79" t="s">
        <v>217</v>
      </c>
      <c r="K652" s="166"/>
      <c r="L652" s="82"/>
      <c r="M652" s="83"/>
    </row>
    <row r="653" spans="1:13" ht="13.2">
      <c r="A653" s="498">
        <v>6</v>
      </c>
      <c r="B653" s="535"/>
      <c r="C653" s="508"/>
      <c r="D653" s="574" t="s">
        <v>1037</v>
      </c>
      <c r="E653" s="537">
        <v>9</v>
      </c>
      <c r="F653" s="576" t="s">
        <v>1034</v>
      </c>
      <c r="G653" s="549" t="s">
        <v>19</v>
      </c>
      <c r="H653" s="577">
        <v>25.8</v>
      </c>
      <c r="I653" s="235" t="s">
        <v>198</v>
      </c>
      <c r="J653" s="79" t="s">
        <v>217</v>
      </c>
      <c r="K653" s="164" t="s">
        <v>1021</v>
      </c>
      <c r="L653" s="82">
        <v>100</v>
      </c>
      <c r="M653" s="83" t="s">
        <v>228</v>
      </c>
    </row>
    <row r="654" spans="1:13" ht="20.399999999999999">
      <c r="A654" s="498">
        <v>6</v>
      </c>
      <c r="B654" s="540"/>
      <c r="C654" s="508"/>
      <c r="D654" s="578" t="s">
        <v>1038</v>
      </c>
      <c r="E654" s="579">
        <v>9</v>
      </c>
      <c r="F654" s="580" t="s">
        <v>1034</v>
      </c>
      <c r="G654" s="581" t="s">
        <v>19</v>
      </c>
      <c r="H654" s="582"/>
      <c r="I654" s="235" t="s">
        <v>198</v>
      </c>
      <c r="J654" s="79" t="s">
        <v>217</v>
      </c>
      <c r="K654" s="166" t="s">
        <v>661</v>
      </c>
      <c r="L654" s="82" t="s">
        <v>661</v>
      </c>
      <c r="M654" s="83" t="s">
        <v>67</v>
      </c>
    </row>
    <row r="655" spans="1:13" ht="13.2">
      <c r="A655" s="498">
        <v>6</v>
      </c>
      <c r="B655" s="568"/>
      <c r="C655" s="535"/>
      <c r="D655" s="572" t="s">
        <v>1039</v>
      </c>
      <c r="E655" s="498">
        <v>9</v>
      </c>
      <c r="F655" s="492" t="s">
        <v>1034</v>
      </c>
      <c r="G655" s="573" t="s">
        <v>19</v>
      </c>
      <c r="H655" s="219"/>
      <c r="I655" s="235" t="s">
        <v>58</v>
      </c>
      <c r="J655" s="79" t="s">
        <v>217</v>
      </c>
      <c r="K655" s="166" t="s">
        <v>661</v>
      </c>
      <c r="L655" s="82" t="s">
        <v>661</v>
      </c>
      <c r="M655" s="84" t="s">
        <v>192</v>
      </c>
    </row>
    <row r="656" spans="1:13" ht="13.2">
      <c r="A656" s="498">
        <v>6</v>
      </c>
      <c r="B656" s="508"/>
      <c r="C656" s="508"/>
      <c r="D656" s="572" t="s">
        <v>1040</v>
      </c>
      <c r="E656" s="498">
        <v>9</v>
      </c>
      <c r="F656" s="492" t="s">
        <v>1034</v>
      </c>
      <c r="G656" s="573" t="s">
        <v>19</v>
      </c>
      <c r="H656" s="219">
        <v>30</v>
      </c>
      <c r="I656" s="235" t="s">
        <v>58</v>
      </c>
      <c r="J656" s="79" t="s">
        <v>217</v>
      </c>
      <c r="K656" s="164" t="s">
        <v>1021</v>
      </c>
      <c r="L656" s="82">
        <v>90</v>
      </c>
      <c r="M656" s="104" t="s">
        <v>228</v>
      </c>
    </row>
    <row r="657" spans="1:13" ht="20.399999999999999">
      <c r="A657" s="498">
        <v>6</v>
      </c>
      <c r="B657" s="508"/>
      <c r="C657" s="508"/>
      <c r="D657" s="572" t="s">
        <v>1041</v>
      </c>
      <c r="E657" s="498">
        <v>9</v>
      </c>
      <c r="F657" s="492" t="s">
        <v>1034</v>
      </c>
      <c r="G657" s="573" t="s">
        <v>19</v>
      </c>
      <c r="H657" s="219">
        <f>300-230+30</f>
        <v>100</v>
      </c>
      <c r="I657" s="235" t="s">
        <v>198</v>
      </c>
      <c r="J657" s="79" t="s">
        <v>217</v>
      </c>
      <c r="K657" s="164" t="s">
        <v>1021</v>
      </c>
      <c r="L657" s="82">
        <v>80</v>
      </c>
      <c r="M657" s="83" t="s">
        <v>185</v>
      </c>
    </row>
    <row r="658" spans="1:13" ht="13.2">
      <c r="A658" s="498">
        <v>6</v>
      </c>
      <c r="B658" s="570"/>
      <c r="C658" s="559"/>
      <c r="D658" s="574"/>
      <c r="E658" s="498">
        <v>9</v>
      </c>
      <c r="F658" s="492" t="s">
        <v>1034</v>
      </c>
      <c r="G658" s="492" t="s">
        <v>178</v>
      </c>
      <c r="H658" s="219">
        <f>230-30</f>
        <v>200</v>
      </c>
      <c r="I658" s="235"/>
      <c r="J658" s="79" t="s">
        <v>217</v>
      </c>
      <c r="K658" s="166"/>
      <c r="L658" s="82"/>
      <c r="M658" s="105"/>
    </row>
    <row r="659" spans="1:13" ht="21">
      <c r="A659" s="498">
        <v>6</v>
      </c>
      <c r="B659" s="570"/>
      <c r="C659" s="559" t="s">
        <v>1042</v>
      </c>
      <c r="D659" s="996" t="s">
        <v>1043</v>
      </c>
      <c r="E659" s="498">
        <v>9</v>
      </c>
      <c r="F659" s="492" t="s">
        <v>1044</v>
      </c>
      <c r="G659" s="573" t="s">
        <v>19</v>
      </c>
      <c r="H659" s="219">
        <v>1200</v>
      </c>
      <c r="I659" s="235" t="s">
        <v>198</v>
      </c>
      <c r="J659" s="79" t="s">
        <v>226</v>
      </c>
      <c r="K659" s="169" t="s">
        <v>1045</v>
      </c>
      <c r="L659" s="98" t="s">
        <v>1046</v>
      </c>
      <c r="M659" s="106" t="s">
        <v>661</v>
      </c>
    </row>
    <row r="660" spans="1:13" ht="13.2">
      <c r="A660" s="498">
        <v>6</v>
      </c>
      <c r="B660" s="570"/>
      <c r="C660" s="559"/>
      <c r="D660" s="994"/>
      <c r="E660" s="498">
        <v>9</v>
      </c>
      <c r="F660" s="492" t="s">
        <v>1044</v>
      </c>
      <c r="G660" s="583" t="s">
        <v>258</v>
      </c>
      <c r="H660" s="219"/>
      <c r="I660" s="235" t="s">
        <v>661</v>
      </c>
      <c r="J660" s="79" t="s">
        <v>661</v>
      </c>
      <c r="K660" s="169" t="s">
        <v>661</v>
      </c>
      <c r="L660" s="98" t="s">
        <v>661</v>
      </c>
      <c r="M660" s="107" t="s">
        <v>661</v>
      </c>
    </row>
    <row r="661" spans="1:13" ht="13.2">
      <c r="A661" s="498">
        <v>6</v>
      </c>
      <c r="B661" s="570"/>
      <c r="C661" s="559"/>
      <c r="D661" s="995"/>
      <c r="E661" s="498">
        <v>9</v>
      </c>
      <c r="F661" s="492" t="s">
        <v>1044</v>
      </c>
      <c r="G661" s="584" t="s">
        <v>22</v>
      </c>
      <c r="H661" s="529"/>
      <c r="I661" s="202"/>
      <c r="J661" s="155"/>
      <c r="K661" s="161"/>
      <c r="L661" s="45"/>
      <c r="M661" s="85"/>
    </row>
    <row r="662" spans="1:13" ht="20.399999999999999">
      <c r="A662" s="498">
        <v>6</v>
      </c>
      <c r="B662" s="508"/>
      <c r="C662" s="560" t="s">
        <v>1047</v>
      </c>
      <c r="D662" s="585" t="s">
        <v>1048</v>
      </c>
      <c r="E662" s="498">
        <v>9</v>
      </c>
      <c r="F662" s="492" t="s">
        <v>1049</v>
      </c>
      <c r="G662" s="583" t="s">
        <v>19</v>
      </c>
      <c r="H662" s="529">
        <v>14.3</v>
      </c>
      <c r="I662" s="235" t="s">
        <v>58</v>
      </c>
      <c r="J662" s="79" t="s">
        <v>661</v>
      </c>
      <c r="K662" s="166" t="s">
        <v>1050</v>
      </c>
      <c r="L662" s="82" t="s">
        <v>661</v>
      </c>
      <c r="M662" s="106" t="s">
        <v>67</v>
      </c>
    </row>
    <row r="663" spans="1:13" ht="20.399999999999999">
      <c r="A663" s="498">
        <v>6</v>
      </c>
      <c r="B663" s="508"/>
      <c r="C663" s="560" t="s">
        <v>1051</v>
      </c>
      <c r="D663" s="585" t="s">
        <v>1052</v>
      </c>
      <c r="E663" s="498">
        <v>9</v>
      </c>
      <c r="F663" s="492" t="s">
        <v>1053</v>
      </c>
      <c r="G663" s="583" t="s">
        <v>19</v>
      </c>
      <c r="H663" s="529">
        <v>2.2999999999999998</v>
      </c>
      <c r="I663" s="235" t="s">
        <v>58</v>
      </c>
      <c r="J663" s="79" t="s">
        <v>661</v>
      </c>
      <c r="K663" s="166" t="s">
        <v>1050</v>
      </c>
      <c r="L663" s="82" t="s">
        <v>661</v>
      </c>
      <c r="M663" s="106" t="s">
        <v>185</v>
      </c>
    </row>
    <row r="664" spans="1:13" ht="30.6">
      <c r="A664" s="498">
        <v>6</v>
      </c>
      <c r="B664" s="508"/>
      <c r="C664" s="560" t="s">
        <v>1054</v>
      </c>
      <c r="D664" s="586" t="s">
        <v>1055</v>
      </c>
      <c r="E664" s="562">
        <v>9</v>
      </c>
      <c r="F664" s="587" t="s">
        <v>1056</v>
      </c>
      <c r="G664" s="584" t="s">
        <v>22</v>
      </c>
      <c r="H664" s="529">
        <v>31.2</v>
      </c>
      <c r="I664" s="235" t="s">
        <v>661</v>
      </c>
      <c r="J664" s="79" t="s">
        <v>661</v>
      </c>
      <c r="K664" s="166" t="s">
        <v>1057</v>
      </c>
      <c r="L664" s="82" t="s">
        <v>661</v>
      </c>
      <c r="M664" s="107" t="s">
        <v>661</v>
      </c>
    </row>
    <row r="665" spans="1:13" ht="30.6">
      <c r="A665" s="498">
        <v>6</v>
      </c>
      <c r="B665" s="231" t="s">
        <v>1058</v>
      </c>
      <c r="C665" s="231" t="s">
        <v>1058</v>
      </c>
      <c r="D665" s="506" t="s">
        <v>1059</v>
      </c>
      <c r="E665" s="507"/>
      <c r="F665" s="507"/>
      <c r="G665" s="523"/>
      <c r="H665" s="523"/>
      <c r="I665" s="235" t="s">
        <v>661</v>
      </c>
      <c r="J665" s="79" t="s">
        <v>661</v>
      </c>
      <c r="K665" s="165" t="s">
        <v>661</v>
      </c>
      <c r="L665" s="108" t="s">
        <v>661</v>
      </c>
      <c r="M665" s="109" t="s">
        <v>661</v>
      </c>
    </row>
    <row r="666" spans="1:13" ht="13.2">
      <c r="A666" s="498">
        <v>6</v>
      </c>
      <c r="B666" s="588"/>
      <c r="C666" s="588"/>
      <c r="D666" s="589"/>
      <c r="E666" s="590"/>
      <c r="F666" s="591"/>
      <c r="G666" s="592" t="s">
        <v>1060</v>
      </c>
      <c r="H666" s="593">
        <f>H678+H685+H687+H689+H691+H693+H695+H697+H699+H702+H704+H707+H710+H712+H716+H718+H725+H720+H681+H728+H730</f>
        <v>3798</v>
      </c>
      <c r="I666" s="235" t="s">
        <v>661</v>
      </c>
      <c r="J666" s="79" t="s">
        <v>661</v>
      </c>
      <c r="K666" s="165" t="s">
        <v>661</v>
      </c>
      <c r="L666" s="110" t="s">
        <v>661</v>
      </c>
      <c r="M666" s="111" t="s">
        <v>661</v>
      </c>
    </row>
    <row r="667" spans="1:13" ht="13.2">
      <c r="A667" s="498">
        <v>6</v>
      </c>
      <c r="B667" s="530"/>
      <c r="C667" s="530"/>
      <c r="D667" s="594"/>
      <c r="E667" s="595"/>
      <c r="F667" s="491"/>
      <c r="G667" s="596" t="s">
        <v>258</v>
      </c>
      <c r="H667" s="597">
        <f>H713+H723</f>
        <v>0</v>
      </c>
      <c r="I667" s="533" t="s">
        <v>661</v>
      </c>
      <c r="J667" s="79" t="s">
        <v>661</v>
      </c>
      <c r="K667" s="165" t="s">
        <v>661</v>
      </c>
      <c r="L667" s="110" t="s">
        <v>661</v>
      </c>
      <c r="M667" s="111" t="s">
        <v>661</v>
      </c>
    </row>
    <row r="668" spans="1:13" ht="13.2">
      <c r="A668" s="498">
        <v>6</v>
      </c>
      <c r="B668" s="530"/>
      <c r="C668" s="530"/>
      <c r="D668" s="594"/>
      <c r="E668" s="595"/>
      <c r="F668" s="491"/>
      <c r="G668" s="596" t="s">
        <v>22</v>
      </c>
      <c r="H668" s="597">
        <f>H714+H721</f>
        <v>395</v>
      </c>
      <c r="I668" s="533" t="s">
        <v>661</v>
      </c>
      <c r="J668" s="79" t="s">
        <v>661</v>
      </c>
      <c r="K668" s="165" t="s">
        <v>661</v>
      </c>
      <c r="L668" s="110" t="s">
        <v>661</v>
      </c>
      <c r="M668" s="111" t="s">
        <v>661</v>
      </c>
    </row>
    <row r="669" spans="1:13" ht="13.2">
      <c r="A669" s="498">
        <v>6</v>
      </c>
      <c r="B669" s="530"/>
      <c r="C669" s="530"/>
      <c r="D669" s="594"/>
      <c r="E669" s="595"/>
      <c r="F669" s="491"/>
      <c r="G669" s="596" t="s">
        <v>56</v>
      </c>
      <c r="H669" s="597">
        <f>SUM(H679,H682)</f>
        <v>751.4</v>
      </c>
      <c r="I669" s="533" t="s">
        <v>661</v>
      </c>
      <c r="J669" s="79" t="s">
        <v>661</v>
      </c>
      <c r="K669" s="165" t="s">
        <v>661</v>
      </c>
      <c r="L669" s="110" t="s">
        <v>661</v>
      </c>
      <c r="M669" s="111" t="s">
        <v>661</v>
      </c>
    </row>
    <row r="670" spans="1:13" ht="13.2">
      <c r="A670" s="498">
        <v>6</v>
      </c>
      <c r="B670" s="530"/>
      <c r="C670" s="530"/>
      <c r="D670" s="594"/>
      <c r="E670" s="595"/>
      <c r="F670" s="491"/>
      <c r="G670" s="596" t="s">
        <v>177</v>
      </c>
      <c r="H670" s="597">
        <f>H683</f>
        <v>0</v>
      </c>
      <c r="I670" s="533" t="s">
        <v>661</v>
      </c>
      <c r="J670" s="79" t="s">
        <v>661</v>
      </c>
      <c r="K670" s="165" t="s">
        <v>661</v>
      </c>
      <c r="L670" s="110" t="s">
        <v>661</v>
      </c>
      <c r="M670" s="111" t="s">
        <v>661</v>
      </c>
    </row>
    <row r="671" spans="1:13" ht="13.2">
      <c r="A671" s="498">
        <v>6</v>
      </c>
      <c r="B671" s="530"/>
      <c r="C671" s="530"/>
      <c r="D671" s="594"/>
      <c r="E671" s="595"/>
      <c r="F671" s="491"/>
      <c r="G671" s="596" t="s">
        <v>606</v>
      </c>
      <c r="H671" s="597">
        <f>SUM(H706,H722)</f>
        <v>104.8</v>
      </c>
      <c r="I671" s="533" t="s">
        <v>661</v>
      </c>
      <c r="J671" s="79" t="s">
        <v>661</v>
      </c>
      <c r="K671" s="165" t="s">
        <v>661</v>
      </c>
      <c r="L671" s="112" t="s">
        <v>661</v>
      </c>
      <c r="M671" s="113" t="s">
        <v>661</v>
      </c>
    </row>
    <row r="672" spans="1:13" ht="13.2">
      <c r="A672" s="498">
        <v>6</v>
      </c>
      <c r="B672" s="530"/>
      <c r="C672" s="530"/>
      <c r="D672" s="594"/>
      <c r="E672" s="595"/>
      <c r="F672" s="491"/>
      <c r="G672" s="596" t="s">
        <v>21</v>
      </c>
      <c r="H672" s="597">
        <f>H708</f>
        <v>0</v>
      </c>
      <c r="I672" s="533" t="s">
        <v>661</v>
      </c>
      <c r="J672" s="79" t="s">
        <v>661</v>
      </c>
      <c r="K672" s="165" t="s">
        <v>661</v>
      </c>
      <c r="L672" s="112" t="s">
        <v>661</v>
      </c>
      <c r="M672" s="113" t="s">
        <v>661</v>
      </c>
    </row>
    <row r="673" spans="1:13" ht="13.2">
      <c r="A673" s="498">
        <v>6</v>
      </c>
      <c r="B673" s="530"/>
      <c r="C673" s="530"/>
      <c r="D673" s="594"/>
      <c r="E673" s="595"/>
      <c r="F673" s="491"/>
      <c r="G673" s="596" t="s">
        <v>19</v>
      </c>
      <c r="H673" s="511">
        <f>H675+H676+H677+H680+H684+H686+H688+H690+H692+H694+H696+H698+H700+H701+H703+H705+H709+H711+H715+H717+H719+H724+H726+H732+H727+H729+H731</f>
        <v>916</v>
      </c>
      <c r="I673" s="533" t="s">
        <v>661</v>
      </c>
      <c r="J673" s="79" t="s">
        <v>661</v>
      </c>
      <c r="K673" s="166" t="s">
        <v>661</v>
      </c>
      <c r="L673" s="80" t="s">
        <v>661</v>
      </c>
      <c r="M673" s="81" t="s">
        <v>661</v>
      </c>
    </row>
    <row r="674" spans="1:13" ht="13.2">
      <c r="A674" s="498">
        <v>6</v>
      </c>
      <c r="B674" s="530"/>
      <c r="C674" s="530"/>
      <c r="D674" s="594"/>
      <c r="E674" s="595"/>
      <c r="F674" s="491"/>
      <c r="G674" s="515" t="s">
        <v>257</v>
      </c>
      <c r="H674" s="220">
        <f>SUM(H665:H673)</f>
        <v>5965.2</v>
      </c>
      <c r="I674" s="235" t="s">
        <v>661</v>
      </c>
      <c r="J674" s="79" t="s">
        <v>661</v>
      </c>
      <c r="K674" s="166" t="s">
        <v>661</v>
      </c>
      <c r="L674" s="82" t="s">
        <v>661</v>
      </c>
      <c r="M674" s="83" t="s">
        <v>661</v>
      </c>
    </row>
    <row r="675" spans="1:13" ht="21">
      <c r="A675" s="498">
        <v>6</v>
      </c>
      <c r="B675" s="530"/>
      <c r="C675" s="598" t="s">
        <v>1061</v>
      </c>
      <c r="D675" s="287" t="s">
        <v>1062</v>
      </c>
      <c r="E675" s="498">
        <v>9</v>
      </c>
      <c r="F675" s="257" t="s">
        <v>1063</v>
      </c>
      <c r="G675" s="526" t="s">
        <v>19</v>
      </c>
      <c r="H675" s="565"/>
      <c r="I675" s="235" t="s">
        <v>198</v>
      </c>
      <c r="J675" s="79"/>
      <c r="K675" s="166"/>
      <c r="L675" s="82"/>
      <c r="M675" s="83" t="s">
        <v>185</v>
      </c>
    </row>
    <row r="676" spans="1:13" ht="20.399999999999999">
      <c r="A676" s="498">
        <v>6</v>
      </c>
      <c r="B676" s="599"/>
      <c r="C676" s="598" t="s">
        <v>1064</v>
      </c>
      <c r="D676" s="600" t="s">
        <v>1065</v>
      </c>
      <c r="E676" s="498">
        <v>9</v>
      </c>
      <c r="F676" s="532" t="s">
        <v>1066</v>
      </c>
      <c r="G676" s="526" t="s">
        <v>19</v>
      </c>
      <c r="H676" s="565"/>
      <c r="I676" s="235" t="s">
        <v>58</v>
      </c>
      <c r="J676" s="79"/>
      <c r="K676" s="166"/>
      <c r="L676" s="82"/>
      <c r="M676" s="83" t="s">
        <v>185</v>
      </c>
    </row>
    <row r="677" spans="1:13" ht="13.2">
      <c r="A677" s="498">
        <v>6</v>
      </c>
      <c r="B677" s="599"/>
      <c r="C677" s="601" t="s">
        <v>1067</v>
      </c>
      <c r="D677" s="999" t="s">
        <v>1068</v>
      </c>
      <c r="E677" s="498">
        <v>9</v>
      </c>
      <c r="F677" s="532" t="s">
        <v>1069</v>
      </c>
      <c r="G677" s="526" t="s">
        <v>19</v>
      </c>
      <c r="H677" s="529">
        <v>110</v>
      </c>
      <c r="I677" s="235" t="s">
        <v>182</v>
      </c>
      <c r="J677" s="79" t="s">
        <v>964</v>
      </c>
      <c r="K677" s="166" t="s">
        <v>1070</v>
      </c>
      <c r="L677" s="82">
        <v>80</v>
      </c>
      <c r="M677" s="83" t="s">
        <v>185</v>
      </c>
    </row>
    <row r="678" spans="1:13" ht="13.2">
      <c r="A678" s="498">
        <v>6</v>
      </c>
      <c r="B678" s="599"/>
      <c r="C678" s="602"/>
      <c r="D678" s="990"/>
      <c r="E678" s="498">
        <v>9</v>
      </c>
      <c r="F678" s="532" t="s">
        <v>1069</v>
      </c>
      <c r="G678" s="526" t="s">
        <v>1060</v>
      </c>
      <c r="H678" s="529">
        <v>989.7</v>
      </c>
      <c r="I678" s="235" t="s">
        <v>182</v>
      </c>
      <c r="J678" s="79" t="s">
        <v>964</v>
      </c>
      <c r="K678" s="166"/>
      <c r="L678" s="82"/>
      <c r="M678" s="83" t="s">
        <v>185</v>
      </c>
    </row>
    <row r="679" spans="1:13" ht="13.2">
      <c r="A679" s="498">
        <v>6</v>
      </c>
      <c r="B679" s="599"/>
      <c r="C679" s="602"/>
      <c r="D679" s="1000"/>
      <c r="E679" s="498">
        <v>9</v>
      </c>
      <c r="F679" s="532" t="s">
        <v>1069</v>
      </c>
      <c r="G679" s="281" t="s">
        <v>56</v>
      </c>
      <c r="H679" s="565">
        <v>751.4</v>
      </c>
      <c r="I679" s="235" t="s">
        <v>182</v>
      </c>
      <c r="J679" s="79" t="s">
        <v>964</v>
      </c>
      <c r="K679" s="166" t="s">
        <v>661</v>
      </c>
      <c r="L679" s="82" t="s">
        <v>661</v>
      </c>
      <c r="M679" s="83" t="s">
        <v>185</v>
      </c>
    </row>
    <row r="680" spans="1:13" ht="21">
      <c r="A680" s="498">
        <v>6</v>
      </c>
      <c r="B680" s="599"/>
      <c r="C680" s="601" t="s">
        <v>1071</v>
      </c>
      <c r="D680" s="999" t="s">
        <v>1072</v>
      </c>
      <c r="E680" s="498">
        <v>9</v>
      </c>
      <c r="F680" s="532" t="s">
        <v>1073</v>
      </c>
      <c r="G680" s="281" t="s">
        <v>19</v>
      </c>
      <c r="H680" s="565">
        <f>ROUND((2800-(2800/3))/2-900, 1)</f>
        <v>33.299999999999997</v>
      </c>
      <c r="I680" s="235" t="s">
        <v>182</v>
      </c>
      <c r="J680" s="79" t="s">
        <v>964</v>
      </c>
      <c r="K680" s="166" t="s">
        <v>1074</v>
      </c>
      <c r="L680" s="82">
        <v>1</v>
      </c>
      <c r="M680" s="83" t="s">
        <v>185</v>
      </c>
    </row>
    <row r="681" spans="1:13" ht="13.2">
      <c r="A681" s="498">
        <v>6</v>
      </c>
      <c r="B681" s="599"/>
      <c r="C681" s="601"/>
      <c r="D681" s="990"/>
      <c r="E681" s="498">
        <v>9</v>
      </c>
      <c r="F681" s="532" t="s">
        <v>1073</v>
      </c>
      <c r="G681" s="281" t="s">
        <v>1060</v>
      </c>
      <c r="H681" s="529">
        <v>113</v>
      </c>
      <c r="I681" s="235" t="s">
        <v>182</v>
      </c>
      <c r="J681" s="79" t="s">
        <v>964</v>
      </c>
      <c r="K681" s="166" t="s">
        <v>1075</v>
      </c>
      <c r="L681" s="82">
        <v>1</v>
      </c>
      <c r="M681" s="83" t="s">
        <v>185</v>
      </c>
    </row>
    <row r="682" spans="1:13" ht="13.2">
      <c r="A682" s="498">
        <v>6</v>
      </c>
      <c r="B682" s="599"/>
      <c r="C682" s="602"/>
      <c r="D682" s="990"/>
      <c r="E682" s="498">
        <v>9</v>
      </c>
      <c r="F682" s="532" t="s">
        <v>1073</v>
      </c>
      <c r="G682" s="281" t="s">
        <v>56</v>
      </c>
      <c r="H682" s="529"/>
      <c r="I682" s="235" t="s">
        <v>182</v>
      </c>
      <c r="J682" s="79" t="s">
        <v>964</v>
      </c>
      <c r="K682" s="166" t="s">
        <v>372</v>
      </c>
      <c r="L682" s="82">
        <v>50</v>
      </c>
      <c r="M682" s="83" t="s">
        <v>185</v>
      </c>
    </row>
    <row r="683" spans="1:13" ht="13.2">
      <c r="A683" s="498">
        <v>6</v>
      </c>
      <c r="B683" s="599"/>
      <c r="C683" s="602"/>
      <c r="D683" s="1000"/>
      <c r="E683" s="498">
        <v>9</v>
      </c>
      <c r="F683" s="532" t="s">
        <v>1073</v>
      </c>
      <c r="G683" s="281" t="s">
        <v>177</v>
      </c>
      <c r="H683" s="529"/>
      <c r="I683" s="235" t="s">
        <v>182</v>
      </c>
      <c r="J683" s="79" t="s">
        <v>964</v>
      </c>
      <c r="K683" s="166" t="s">
        <v>661</v>
      </c>
      <c r="L683" s="82" t="s">
        <v>661</v>
      </c>
      <c r="M683" s="83" t="s">
        <v>185</v>
      </c>
    </row>
    <row r="684" spans="1:13" ht="13.2">
      <c r="A684" s="498">
        <v>6</v>
      </c>
      <c r="B684" s="599"/>
      <c r="C684" s="601" t="s">
        <v>1076</v>
      </c>
      <c r="D684" s="999" t="s">
        <v>1077</v>
      </c>
      <c r="E684" s="498">
        <v>9</v>
      </c>
      <c r="F684" s="532" t="s">
        <v>1078</v>
      </c>
      <c r="G684" s="526" t="s">
        <v>19</v>
      </c>
      <c r="H684" s="529">
        <v>30</v>
      </c>
      <c r="I684" s="235" t="s">
        <v>198</v>
      </c>
      <c r="J684" s="79" t="s">
        <v>999</v>
      </c>
      <c r="K684" s="166" t="s">
        <v>1079</v>
      </c>
      <c r="L684" s="82">
        <v>50</v>
      </c>
      <c r="M684" s="83" t="s">
        <v>185</v>
      </c>
    </row>
    <row r="685" spans="1:13" ht="13.2">
      <c r="A685" s="498">
        <v>6</v>
      </c>
      <c r="B685" s="599"/>
      <c r="C685" s="602"/>
      <c r="D685" s="1000"/>
      <c r="E685" s="498">
        <v>9</v>
      </c>
      <c r="F685" s="532" t="s">
        <v>1078</v>
      </c>
      <c r="G685" s="526" t="s">
        <v>1060</v>
      </c>
      <c r="H685" s="565"/>
      <c r="I685" s="235" t="s">
        <v>198</v>
      </c>
      <c r="J685" s="79" t="s">
        <v>999</v>
      </c>
      <c r="K685" s="166" t="s">
        <v>661</v>
      </c>
      <c r="L685" s="82" t="s">
        <v>661</v>
      </c>
      <c r="M685" s="83" t="s">
        <v>185</v>
      </c>
    </row>
    <row r="686" spans="1:13" ht="21.75" customHeight="1">
      <c r="A686" s="498">
        <v>6</v>
      </c>
      <c r="B686" s="599"/>
      <c r="C686" s="601" t="s">
        <v>1080</v>
      </c>
      <c r="D686" s="999" t="s">
        <v>1081</v>
      </c>
      <c r="E686" s="498">
        <v>9</v>
      </c>
      <c r="F686" s="532" t="s">
        <v>1082</v>
      </c>
      <c r="G686" s="526" t="s">
        <v>19</v>
      </c>
      <c r="H686" s="529">
        <v>30</v>
      </c>
      <c r="I686" s="235" t="s">
        <v>198</v>
      </c>
      <c r="J686" s="79" t="s">
        <v>964</v>
      </c>
      <c r="K686" s="166" t="s">
        <v>1079</v>
      </c>
      <c r="L686" s="82">
        <v>50</v>
      </c>
      <c r="M686" s="83" t="s">
        <v>192</v>
      </c>
    </row>
    <row r="687" spans="1:13" ht="23.25" customHeight="1">
      <c r="A687" s="498">
        <v>6</v>
      </c>
      <c r="B687" s="599"/>
      <c r="C687" s="602"/>
      <c r="D687" s="1000"/>
      <c r="E687" s="498">
        <v>9</v>
      </c>
      <c r="F687" s="532" t="s">
        <v>1082</v>
      </c>
      <c r="G687" s="526" t="s">
        <v>1060</v>
      </c>
      <c r="H687" s="565"/>
      <c r="I687" s="235" t="s">
        <v>198</v>
      </c>
      <c r="J687" s="79" t="s">
        <v>964</v>
      </c>
      <c r="K687" s="166" t="s">
        <v>661</v>
      </c>
      <c r="L687" s="82" t="s">
        <v>661</v>
      </c>
      <c r="M687" s="83" t="s">
        <v>192</v>
      </c>
    </row>
    <row r="688" spans="1:13" ht="21.75" customHeight="1">
      <c r="A688" s="498">
        <v>6</v>
      </c>
      <c r="B688" s="599"/>
      <c r="C688" s="601" t="s">
        <v>1083</v>
      </c>
      <c r="D688" s="999" t="s">
        <v>1084</v>
      </c>
      <c r="E688" s="498">
        <v>9</v>
      </c>
      <c r="F688" s="532" t="s">
        <v>1085</v>
      </c>
      <c r="G688" s="526" t="s">
        <v>19</v>
      </c>
      <c r="H688" s="529">
        <v>30</v>
      </c>
      <c r="I688" s="235" t="s">
        <v>198</v>
      </c>
      <c r="J688" s="79" t="s">
        <v>999</v>
      </c>
      <c r="K688" s="166" t="s">
        <v>1079</v>
      </c>
      <c r="L688" s="82">
        <v>50</v>
      </c>
      <c r="M688" s="83" t="s">
        <v>227</v>
      </c>
    </row>
    <row r="689" spans="1:13" ht="13.2">
      <c r="A689" s="498">
        <v>6</v>
      </c>
      <c r="B689" s="599"/>
      <c r="C689" s="602"/>
      <c r="D689" s="1000"/>
      <c r="E689" s="498">
        <v>9</v>
      </c>
      <c r="F689" s="532" t="s">
        <v>1085</v>
      </c>
      <c r="G689" s="526" t="s">
        <v>1060</v>
      </c>
      <c r="H689" s="565"/>
      <c r="I689" s="235" t="s">
        <v>198</v>
      </c>
      <c r="J689" s="79" t="s">
        <v>999</v>
      </c>
      <c r="K689" s="166" t="s">
        <v>661</v>
      </c>
      <c r="L689" s="82" t="s">
        <v>661</v>
      </c>
      <c r="M689" s="83" t="s">
        <v>227</v>
      </c>
    </row>
    <row r="690" spans="1:13" ht="13.2">
      <c r="A690" s="498">
        <v>6</v>
      </c>
      <c r="B690" s="599"/>
      <c r="C690" s="601" t="s">
        <v>1086</v>
      </c>
      <c r="D690" s="999" t="s">
        <v>1087</v>
      </c>
      <c r="E690" s="498">
        <v>9</v>
      </c>
      <c r="F690" s="532" t="s">
        <v>1088</v>
      </c>
      <c r="G690" s="526" t="s">
        <v>19</v>
      </c>
      <c r="H690" s="529">
        <v>30</v>
      </c>
      <c r="I690" s="235" t="s">
        <v>198</v>
      </c>
      <c r="J690" s="79" t="s">
        <v>999</v>
      </c>
      <c r="K690" s="166" t="s">
        <v>1079</v>
      </c>
      <c r="L690" s="82">
        <v>50</v>
      </c>
      <c r="M690" s="83" t="s">
        <v>227</v>
      </c>
    </row>
    <row r="691" spans="1:13" ht="13.2">
      <c r="A691" s="498">
        <v>6</v>
      </c>
      <c r="B691" s="599"/>
      <c r="C691" s="602"/>
      <c r="D691" s="1000"/>
      <c r="E691" s="498">
        <v>9</v>
      </c>
      <c r="F691" s="532" t="s">
        <v>1088</v>
      </c>
      <c r="G691" s="526" t="s">
        <v>1060</v>
      </c>
      <c r="H691" s="565"/>
      <c r="I691" s="235" t="s">
        <v>198</v>
      </c>
      <c r="J691" s="79" t="s">
        <v>999</v>
      </c>
      <c r="K691" s="166" t="s">
        <v>661</v>
      </c>
      <c r="L691" s="82" t="s">
        <v>661</v>
      </c>
      <c r="M691" s="83" t="s">
        <v>227</v>
      </c>
    </row>
    <row r="692" spans="1:13" ht="13.2">
      <c r="A692" s="498">
        <v>6</v>
      </c>
      <c r="B692" s="599"/>
      <c r="C692" s="601" t="s">
        <v>1089</v>
      </c>
      <c r="D692" s="999" t="s">
        <v>1090</v>
      </c>
      <c r="E692" s="498">
        <v>9</v>
      </c>
      <c r="F692" s="532" t="s">
        <v>1091</v>
      </c>
      <c r="G692" s="526" t="s">
        <v>19</v>
      </c>
      <c r="H692" s="529">
        <v>15</v>
      </c>
      <c r="I692" s="235" t="s">
        <v>198</v>
      </c>
      <c r="J692" s="79" t="s">
        <v>999</v>
      </c>
      <c r="K692" s="166" t="s">
        <v>1079</v>
      </c>
      <c r="L692" s="82">
        <v>50</v>
      </c>
      <c r="M692" s="83" t="s">
        <v>185</v>
      </c>
    </row>
    <row r="693" spans="1:13" ht="13.2">
      <c r="A693" s="498">
        <v>6</v>
      </c>
      <c r="B693" s="599"/>
      <c r="C693" s="602"/>
      <c r="D693" s="1000"/>
      <c r="E693" s="498">
        <v>9</v>
      </c>
      <c r="F693" s="532" t="s">
        <v>1091</v>
      </c>
      <c r="G693" s="526" t="s">
        <v>1060</v>
      </c>
      <c r="H693" s="565"/>
      <c r="I693" s="235" t="s">
        <v>198</v>
      </c>
      <c r="J693" s="79" t="s">
        <v>999</v>
      </c>
      <c r="K693" s="166" t="s">
        <v>661</v>
      </c>
      <c r="L693" s="82" t="s">
        <v>661</v>
      </c>
      <c r="M693" s="83" t="s">
        <v>185</v>
      </c>
    </row>
    <row r="694" spans="1:13" ht="21.75" customHeight="1">
      <c r="A694" s="498">
        <v>6</v>
      </c>
      <c r="B694" s="599"/>
      <c r="C694" s="601" t="s">
        <v>1092</v>
      </c>
      <c r="D694" s="999" t="s">
        <v>1093</v>
      </c>
      <c r="E694" s="498">
        <v>9</v>
      </c>
      <c r="F694" s="532" t="s">
        <v>1094</v>
      </c>
      <c r="G694" s="526" t="s">
        <v>19</v>
      </c>
      <c r="H694" s="565">
        <v>80</v>
      </c>
      <c r="I694" s="235" t="s">
        <v>198</v>
      </c>
      <c r="J694" s="79" t="s">
        <v>964</v>
      </c>
      <c r="K694" s="166" t="s">
        <v>1079</v>
      </c>
      <c r="L694" s="82">
        <v>30</v>
      </c>
      <c r="M694" s="83" t="s">
        <v>189</v>
      </c>
    </row>
    <row r="695" spans="1:13" ht="17.25" customHeight="1">
      <c r="A695" s="498">
        <v>6</v>
      </c>
      <c r="B695" s="599"/>
      <c r="C695" s="602"/>
      <c r="D695" s="1000"/>
      <c r="E695" s="498">
        <v>9</v>
      </c>
      <c r="F695" s="532" t="s">
        <v>1094</v>
      </c>
      <c r="G695" s="526" t="s">
        <v>1060</v>
      </c>
      <c r="H695" s="565"/>
      <c r="I695" s="235" t="s">
        <v>198</v>
      </c>
      <c r="J695" s="79" t="s">
        <v>661</v>
      </c>
      <c r="K695" s="166" t="s">
        <v>661</v>
      </c>
      <c r="L695" s="82" t="s">
        <v>661</v>
      </c>
      <c r="M695" s="83" t="s">
        <v>189</v>
      </c>
    </row>
    <row r="696" spans="1:13" ht="16.5" customHeight="1">
      <c r="A696" s="498">
        <v>6</v>
      </c>
      <c r="B696" s="599"/>
      <c r="C696" s="601" t="s">
        <v>1095</v>
      </c>
      <c r="D696" s="999" t="s">
        <v>1096</v>
      </c>
      <c r="E696" s="498">
        <v>9</v>
      </c>
      <c r="F696" s="532" t="s">
        <v>1097</v>
      </c>
      <c r="G696" s="526" t="s">
        <v>19</v>
      </c>
      <c r="H696" s="565">
        <v>20</v>
      </c>
      <c r="I696" s="235" t="s">
        <v>198</v>
      </c>
      <c r="J696" s="79" t="s">
        <v>226</v>
      </c>
      <c r="K696" s="166" t="s">
        <v>1079</v>
      </c>
      <c r="L696" s="82">
        <v>20</v>
      </c>
      <c r="M696" s="83" t="s">
        <v>228</v>
      </c>
    </row>
    <row r="697" spans="1:13" ht="13.2">
      <c r="A697" s="498">
        <v>6</v>
      </c>
      <c r="B697" s="599"/>
      <c r="C697" s="602"/>
      <c r="D697" s="1000"/>
      <c r="E697" s="498">
        <v>9</v>
      </c>
      <c r="F697" s="532" t="s">
        <v>1097</v>
      </c>
      <c r="G697" s="526" t="s">
        <v>1060</v>
      </c>
      <c r="H697" s="565"/>
      <c r="I697" s="235" t="s">
        <v>198</v>
      </c>
      <c r="J697" s="79" t="s">
        <v>661</v>
      </c>
      <c r="K697" s="166" t="s">
        <v>661</v>
      </c>
      <c r="L697" s="82" t="s">
        <v>661</v>
      </c>
      <c r="M697" s="83" t="s">
        <v>228</v>
      </c>
    </row>
    <row r="698" spans="1:13" ht="18.75" customHeight="1">
      <c r="A698" s="498">
        <v>6</v>
      </c>
      <c r="B698" s="599"/>
      <c r="C698" s="601" t="s">
        <v>1098</v>
      </c>
      <c r="D698" s="999" t="s">
        <v>1099</v>
      </c>
      <c r="E698" s="498">
        <v>9</v>
      </c>
      <c r="F698" s="532" t="s">
        <v>1100</v>
      </c>
      <c r="G698" s="526" t="s">
        <v>19</v>
      </c>
      <c r="H698" s="565">
        <v>80</v>
      </c>
      <c r="I698" s="235" t="s">
        <v>198</v>
      </c>
      <c r="J698" s="79" t="s">
        <v>964</v>
      </c>
      <c r="K698" s="166" t="s">
        <v>1079</v>
      </c>
      <c r="L698" s="82">
        <v>30</v>
      </c>
      <c r="M698" s="83" t="s">
        <v>192</v>
      </c>
    </row>
    <row r="699" spans="1:13" ht="13.2">
      <c r="A699" s="498">
        <v>6</v>
      </c>
      <c r="B699" s="599"/>
      <c r="C699" s="602"/>
      <c r="D699" s="1000"/>
      <c r="E699" s="498">
        <v>9</v>
      </c>
      <c r="F699" s="532" t="s">
        <v>1100</v>
      </c>
      <c r="G699" s="526" t="s">
        <v>1060</v>
      </c>
      <c r="H699" s="565"/>
      <c r="I699" s="235" t="s">
        <v>198</v>
      </c>
      <c r="J699" s="79" t="s">
        <v>661</v>
      </c>
      <c r="K699" s="166" t="s">
        <v>661</v>
      </c>
      <c r="L699" s="82" t="s">
        <v>661</v>
      </c>
      <c r="M699" s="83" t="s">
        <v>192</v>
      </c>
    </row>
    <row r="700" spans="1:13" ht="21">
      <c r="A700" s="498">
        <v>6</v>
      </c>
      <c r="B700" s="508"/>
      <c r="C700" s="601" t="s">
        <v>1101</v>
      </c>
      <c r="D700" s="603" t="s">
        <v>1102</v>
      </c>
      <c r="E700" s="498">
        <v>9</v>
      </c>
      <c r="F700" s="532" t="s">
        <v>1103</v>
      </c>
      <c r="G700" s="526" t="s">
        <v>19</v>
      </c>
      <c r="H700" s="565">
        <v>50</v>
      </c>
      <c r="I700" s="533" t="s">
        <v>198</v>
      </c>
      <c r="J700" s="76" t="s">
        <v>979</v>
      </c>
      <c r="K700" s="166" t="s">
        <v>1104</v>
      </c>
      <c r="L700" s="82">
        <v>1</v>
      </c>
      <c r="M700" s="83" t="s">
        <v>67</v>
      </c>
    </row>
    <row r="701" spans="1:13" ht="13.2">
      <c r="A701" s="498">
        <v>6</v>
      </c>
      <c r="B701" s="508"/>
      <c r="C701" s="601" t="s">
        <v>1105</v>
      </c>
      <c r="D701" s="989" t="s">
        <v>1106</v>
      </c>
      <c r="E701" s="498">
        <v>9</v>
      </c>
      <c r="F701" s="531" t="s">
        <v>1107</v>
      </c>
      <c r="G701" s="526" t="s">
        <v>19</v>
      </c>
      <c r="H701" s="565">
        <f>6+4</f>
        <v>10</v>
      </c>
      <c r="I701" s="533" t="s">
        <v>58</v>
      </c>
      <c r="J701" s="76" t="s">
        <v>999</v>
      </c>
      <c r="K701" s="166" t="s">
        <v>372</v>
      </c>
      <c r="L701" s="82">
        <v>100</v>
      </c>
      <c r="M701" s="97" t="s">
        <v>189</v>
      </c>
    </row>
    <row r="702" spans="1:13" ht="13.2">
      <c r="A702" s="498">
        <v>6</v>
      </c>
      <c r="B702" s="508"/>
      <c r="C702" s="508"/>
      <c r="D702" s="1000"/>
      <c r="E702" s="498">
        <v>9</v>
      </c>
      <c r="F702" s="531" t="s">
        <v>1107</v>
      </c>
      <c r="G702" s="526" t="s">
        <v>1060</v>
      </c>
      <c r="H702" s="529">
        <v>38.6</v>
      </c>
      <c r="I702" s="533" t="s">
        <v>58</v>
      </c>
      <c r="J702" s="76" t="s">
        <v>999</v>
      </c>
      <c r="K702" s="166" t="s">
        <v>661</v>
      </c>
      <c r="L702" s="82" t="s">
        <v>661</v>
      </c>
      <c r="M702" s="97" t="s">
        <v>189</v>
      </c>
    </row>
    <row r="703" spans="1:13" ht="13.2">
      <c r="A703" s="498">
        <v>6</v>
      </c>
      <c r="B703" s="604"/>
      <c r="C703" s="601" t="s">
        <v>1108</v>
      </c>
      <c r="D703" s="989" t="s">
        <v>1109</v>
      </c>
      <c r="E703" s="605">
        <v>9</v>
      </c>
      <c r="F703" s="606" t="s">
        <v>1110</v>
      </c>
      <c r="G703" s="264" t="s">
        <v>19</v>
      </c>
      <c r="H703" s="529"/>
      <c r="I703" s="607" t="s">
        <v>58</v>
      </c>
      <c r="J703" s="79" t="s">
        <v>964</v>
      </c>
      <c r="K703" s="166"/>
      <c r="L703" s="82"/>
      <c r="M703" s="83" t="s">
        <v>189</v>
      </c>
    </row>
    <row r="704" spans="1:13" ht="18.600000000000001" customHeight="1">
      <c r="A704" s="498">
        <v>6</v>
      </c>
      <c r="B704" s="508"/>
      <c r="C704" s="508"/>
      <c r="D704" s="1003"/>
      <c r="E704" s="498">
        <v>9</v>
      </c>
      <c r="F704" s="531" t="s">
        <v>1110</v>
      </c>
      <c r="G704" s="526" t="s">
        <v>1060</v>
      </c>
      <c r="H704" s="565"/>
      <c r="I704" s="533" t="s">
        <v>58</v>
      </c>
      <c r="J704" s="79" t="s">
        <v>964</v>
      </c>
      <c r="K704" s="166" t="s">
        <v>661</v>
      </c>
      <c r="L704" s="82" t="s">
        <v>661</v>
      </c>
      <c r="M704" s="97" t="s">
        <v>189</v>
      </c>
    </row>
    <row r="705" spans="1:13" ht="21">
      <c r="A705" s="498">
        <v>6</v>
      </c>
      <c r="B705" s="508"/>
      <c r="C705" s="601" t="s">
        <v>1111</v>
      </c>
      <c r="D705" s="999" t="s">
        <v>1112</v>
      </c>
      <c r="E705" s="498">
        <v>9</v>
      </c>
      <c r="F705" s="531" t="s">
        <v>1113</v>
      </c>
      <c r="G705" s="526" t="s">
        <v>19</v>
      </c>
      <c r="H705" s="529">
        <v>35</v>
      </c>
      <c r="I705" s="235" t="s">
        <v>58</v>
      </c>
      <c r="J705" s="79" t="s">
        <v>979</v>
      </c>
      <c r="K705" s="166" t="s">
        <v>980</v>
      </c>
      <c r="L705" s="82">
        <v>100</v>
      </c>
      <c r="M705" s="97" t="s">
        <v>562</v>
      </c>
    </row>
    <row r="706" spans="1:13" ht="13.2">
      <c r="A706" s="498">
        <v>6</v>
      </c>
      <c r="B706" s="508"/>
      <c r="C706" s="508"/>
      <c r="D706" s="990"/>
      <c r="E706" s="498">
        <v>9</v>
      </c>
      <c r="F706" s="531" t="s">
        <v>1113</v>
      </c>
      <c r="G706" s="526" t="s">
        <v>606</v>
      </c>
      <c r="H706" s="565"/>
      <c r="I706" s="235" t="s">
        <v>58</v>
      </c>
      <c r="J706" s="79" t="s">
        <v>979</v>
      </c>
      <c r="K706" s="166" t="s">
        <v>661</v>
      </c>
      <c r="L706" s="82" t="s">
        <v>661</v>
      </c>
      <c r="M706" s="97" t="s">
        <v>562</v>
      </c>
    </row>
    <row r="707" spans="1:13" ht="13.2">
      <c r="A707" s="498">
        <v>6</v>
      </c>
      <c r="B707" s="508"/>
      <c r="C707" s="508"/>
      <c r="D707" s="990"/>
      <c r="E707" s="498">
        <v>9</v>
      </c>
      <c r="F707" s="531" t="s">
        <v>1113</v>
      </c>
      <c r="G707" s="526" t="s">
        <v>1060</v>
      </c>
      <c r="H707" s="529">
        <v>134.69999999999999</v>
      </c>
      <c r="I707" s="235" t="s">
        <v>58</v>
      </c>
      <c r="J707" s="79" t="s">
        <v>979</v>
      </c>
      <c r="K707" s="166" t="s">
        <v>661</v>
      </c>
      <c r="L707" s="82" t="s">
        <v>661</v>
      </c>
      <c r="M707" s="97" t="s">
        <v>562</v>
      </c>
    </row>
    <row r="708" spans="1:13" ht="21">
      <c r="A708" s="498">
        <v>6</v>
      </c>
      <c r="B708" s="508"/>
      <c r="C708" s="608"/>
      <c r="D708" s="1000"/>
      <c r="E708" s="498">
        <v>9</v>
      </c>
      <c r="F708" s="531" t="s">
        <v>1113</v>
      </c>
      <c r="G708" s="526" t="s">
        <v>21</v>
      </c>
      <c r="H708" s="565"/>
      <c r="I708" s="235" t="s">
        <v>198</v>
      </c>
      <c r="J708" s="79" t="s">
        <v>979</v>
      </c>
      <c r="K708" s="166" t="s">
        <v>1114</v>
      </c>
      <c r="L708" s="82" t="s">
        <v>661</v>
      </c>
      <c r="M708" s="97" t="s">
        <v>661</v>
      </c>
    </row>
    <row r="709" spans="1:13" ht="13.2">
      <c r="A709" s="498">
        <v>6</v>
      </c>
      <c r="B709" s="508"/>
      <c r="C709" s="601" t="s">
        <v>1115</v>
      </c>
      <c r="D709" s="999" t="s">
        <v>1116</v>
      </c>
      <c r="E709" s="498">
        <v>9</v>
      </c>
      <c r="F709" s="531" t="s">
        <v>1117</v>
      </c>
      <c r="G709" s="526" t="s">
        <v>19</v>
      </c>
      <c r="H709" s="529">
        <v>30</v>
      </c>
      <c r="I709" s="533" t="s">
        <v>58</v>
      </c>
      <c r="J709" s="79" t="s">
        <v>999</v>
      </c>
      <c r="K709" s="166" t="s">
        <v>1070</v>
      </c>
      <c r="L709" s="82">
        <v>100</v>
      </c>
      <c r="M709" s="97" t="s">
        <v>67</v>
      </c>
    </row>
    <row r="710" spans="1:13" ht="33.6" customHeight="1">
      <c r="A710" s="498">
        <v>6</v>
      </c>
      <c r="B710" s="508"/>
      <c r="C710" s="508"/>
      <c r="D710" s="1000"/>
      <c r="E710" s="498">
        <v>9</v>
      </c>
      <c r="F710" s="531" t="s">
        <v>1117</v>
      </c>
      <c r="G710" s="526" t="s">
        <v>1060</v>
      </c>
      <c r="H710" s="529">
        <v>802</v>
      </c>
      <c r="I710" s="533" t="s">
        <v>58</v>
      </c>
      <c r="J710" s="79" t="s">
        <v>999</v>
      </c>
      <c r="K710" s="166" t="s">
        <v>661</v>
      </c>
      <c r="L710" s="82" t="s">
        <v>661</v>
      </c>
      <c r="M710" s="97" t="s">
        <v>67</v>
      </c>
    </row>
    <row r="711" spans="1:13" ht="13.2">
      <c r="A711" s="498">
        <v>6</v>
      </c>
      <c r="B711" s="508"/>
      <c r="C711" s="601" t="s">
        <v>1118</v>
      </c>
      <c r="D711" s="999" t="s">
        <v>1119</v>
      </c>
      <c r="E711" s="498">
        <v>9</v>
      </c>
      <c r="F711" s="531" t="s">
        <v>1120</v>
      </c>
      <c r="G711" s="526" t="s">
        <v>19</v>
      </c>
      <c r="H711" s="529">
        <v>120</v>
      </c>
      <c r="I711" s="533" t="s">
        <v>58</v>
      </c>
      <c r="J711" s="79" t="s">
        <v>999</v>
      </c>
      <c r="K711" s="166" t="s">
        <v>1070</v>
      </c>
      <c r="L711" s="82">
        <v>100</v>
      </c>
      <c r="M711" s="97" t="s">
        <v>185</v>
      </c>
    </row>
    <row r="712" spans="1:13" ht="13.2">
      <c r="A712" s="498">
        <v>6</v>
      </c>
      <c r="B712" s="508"/>
      <c r="C712" s="508"/>
      <c r="D712" s="990"/>
      <c r="E712" s="498">
        <v>9</v>
      </c>
      <c r="F712" s="531" t="s">
        <v>1120</v>
      </c>
      <c r="G712" s="526" t="s">
        <v>1060</v>
      </c>
      <c r="H712" s="529">
        <v>120</v>
      </c>
      <c r="I712" s="533" t="s">
        <v>58</v>
      </c>
      <c r="J712" s="79" t="s">
        <v>999</v>
      </c>
      <c r="K712" s="166" t="s">
        <v>661</v>
      </c>
      <c r="L712" s="82" t="s">
        <v>661</v>
      </c>
      <c r="M712" s="97" t="s">
        <v>185</v>
      </c>
    </row>
    <row r="713" spans="1:13" ht="13.2">
      <c r="A713" s="498">
        <v>6</v>
      </c>
      <c r="B713" s="508"/>
      <c r="C713" s="508"/>
      <c r="D713" s="990"/>
      <c r="E713" s="498">
        <v>9</v>
      </c>
      <c r="F713" s="531" t="s">
        <v>1120</v>
      </c>
      <c r="G713" s="526" t="s">
        <v>258</v>
      </c>
      <c r="H713" s="529"/>
      <c r="I713" s="533" t="s">
        <v>661</v>
      </c>
      <c r="J713" s="79" t="s">
        <v>999</v>
      </c>
      <c r="K713" s="166" t="s">
        <v>661</v>
      </c>
      <c r="L713" s="82" t="s">
        <v>661</v>
      </c>
      <c r="M713" s="97" t="s">
        <v>185</v>
      </c>
    </row>
    <row r="714" spans="1:13" ht="13.2">
      <c r="A714" s="498">
        <v>6</v>
      </c>
      <c r="B714" s="508"/>
      <c r="C714" s="508"/>
      <c r="D714" s="1000"/>
      <c r="E714" s="498">
        <v>9</v>
      </c>
      <c r="F714" s="532" t="s">
        <v>1120</v>
      </c>
      <c r="G714" s="584" t="s">
        <v>22</v>
      </c>
      <c r="H714" s="529">
        <v>285</v>
      </c>
      <c r="I714" s="533" t="s">
        <v>58</v>
      </c>
      <c r="J714" s="79" t="s">
        <v>999</v>
      </c>
      <c r="K714" s="169" t="s">
        <v>661</v>
      </c>
      <c r="L714" s="102" t="s">
        <v>661</v>
      </c>
      <c r="M714" s="97" t="s">
        <v>185</v>
      </c>
    </row>
    <row r="715" spans="1:13" ht="17.25" customHeight="1">
      <c r="A715" s="498">
        <v>6</v>
      </c>
      <c r="B715" s="508"/>
      <c r="C715" s="601" t="s">
        <v>1121</v>
      </c>
      <c r="D715" s="999" t="s">
        <v>1122</v>
      </c>
      <c r="E715" s="498">
        <v>9</v>
      </c>
      <c r="F715" s="531" t="s">
        <v>1123</v>
      </c>
      <c r="G715" s="526" t="s">
        <v>19</v>
      </c>
      <c r="H715" s="565"/>
      <c r="I715" s="533" t="s">
        <v>58</v>
      </c>
      <c r="J715" s="79"/>
      <c r="K715" s="169"/>
      <c r="L715" s="82" t="s">
        <v>661</v>
      </c>
      <c r="M715" s="97" t="s">
        <v>189</v>
      </c>
    </row>
    <row r="716" spans="1:13" ht="18.600000000000001" customHeight="1">
      <c r="A716" s="498">
        <v>6</v>
      </c>
      <c r="B716" s="508"/>
      <c r="C716" s="508"/>
      <c r="D716" s="1000"/>
      <c r="E716" s="498">
        <v>9</v>
      </c>
      <c r="F716" s="531" t="s">
        <v>1123</v>
      </c>
      <c r="G716" s="526" t="s">
        <v>1060</v>
      </c>
      <c r="H716" s="565"/>
      <c r="I716" s="533" t="s">
        <v>58</v>
      </c>
      <c r="J716" s="79"/>
      <c r="K716" s="166"/>
      <c r="L716" s="82" t="s">
        <v>661</v>
      </c>
      <c r="M716" s="97" t="s">
        <v>189</v>
      </c>
    </row>
    <row r="717" spans="1:13" ht="23.25" customHeight="1">
      <c r="A717" s="498">
        <v>6</v>
      </c>
      <c r="B717" s="508"/>
      <c r="C717" s="601" t="s">
        <v>1124</v>
      </c>
      <c r="D717" s="999" t="s">
        <v>1125</v>
      </c>
      <c r="E717" s="498">
        <v>9</v>
      </c>
      <c r="F717" s="531" t="s">
        <v>1126</v>
      </c>
      <c r="G717" s="526" t="s">
        <v>19</v>
      </c>
      <c r="H717" s="529">
        <v>12</v>
      </c>
      <c r="I717" s="533" t="s">
        <v>58</v>
      </c>
      <c r="J717" s="79" t="s">
        <v>979</v>
      </c>
      <c r="K717" s="166" t="s">
        <v>661</v>
      </c>
      <c r="L717" s="82" t="s">
        <v>661</v>
      </c>
      <c r="M717" s="97" t="s">
        <v>228</v>
      </c>
    </row>
    <row r="718" spans="1:13" ht="20.25" customHeight="1">
      <c r="A718" s="498">
        <v>6</v>
      </c>
      <c r="B718" s="508"/>
      <c r="C718" s="508"/>
      <c r="D718" s="1000"/>
      <c r="E718" s="498">
        <v>9</v>
      </c>
      <c r="F718" s="531" t="s">
        <v>1126</v>
      </c>
      <c r="G718" s="526" t="s">
        <v>1060</v>
      </c>
      <c r="H718" s="529">
        <v>1100</v>
      </c>
      <c r="I718" s="533" t="s">
        <v>58</v>
      </c>
      <c r="J718" s="79" t="s">
        <v>979</v>
      </c>
      <c r="K718" s="166" t="s">
        <v>372</v>
      </c>
      <c r="L718" s="82">
        <v>50</v>
      </c>
      <c r="M718" s="97" t="s">
        <v>228</v>
      </c>
    </row>
    <row r="719" spans="1:13" ht="13.2">
      <c r="A719" s="498">
        <v>6</v>
      </c>
      <c r="B719" s="604"/>
      <c r="C719" s="601" t="s">
        <v>1127</v>
      </c>
      <c r="D719" s="999" t="s">
        <v>1128</v>
      </c>
      <c r="E719" s="605">
        <v>9</v>
      </c>
      <c r="F719" s="606" t="s">
        <v>1129</v>
      </c>
      <c r="G719" s="264" t="s">
        <v>19</v>
      </c>
      <c r="H719" s="529">
        <f>500-300-104.8</f>
        <v>95.2</v>
      </c>
      <c r="I719" s="609" t="s">
        <v>58</v>
      </c>
      <c r="J719" s="79" t="s">
        <v>999</v>
      </c>
      <c r="K719" s="166" t="s">
        <v>1070</v>
      </c>
      <c r="L719" s="82">
        <v>100</v>
      </c>
      <c r="M719" s="83" t="s">
        <v>192</v>
      </c>
    </row>
    <row r="720" spans="1:13" ht="13.2">
      <c r="A720" s="498">
        <v>6</v>
      </c>
      <c r="B720" s="604"/>
      <c r="C720" s="604"/>
      <c r="D720" s="990"/>
      <c r="E720" s="605">
        <v>9</v>
      </c>
      <c r="F720" s="606" t="s">
        <v>1129</v>
      </c>
      <c r="G720" s="264" t="s">
        <v>1060</v>
      </c>
      <c r="H720" s="529"/>
      <c r="I720" s="609" t="s">
        <v>58</v>
      </c>
      <c r="J720" s="79" t="s">
        <v>999</v>
      </c>
      <c r="K720" s="166" t="s">
        <v>661</v>
      </c>
      <c r="L720" s="82" t="s">
        <v>661</v>
      </c>
      <c r="M720" s="83" t="s">
        <v>192</v>
      </c>
    </row>
    <row r="721" spans="1:13" ht="13.2">
      <c r="A721" s="498">
        <v>6</v>
      </c>
      <c r="B721" s="508"/>
      <c r="C721" s="508"/>
      <c r="D721" s="990"/>
      <c r="E721" s="498">
        <v>9</v>
      </c>
      <c r="F721" s="532" t="s">
        <v>1129</v>
      </c>
      <c r="G721" s="584" t="s">
        <v>22</v>
      </c>
      <c r="H721" s="565">
        <f>206.4+300+3.6-400</f>
        <v>110</v>
      </c>
      <c r="I721" s="533" t="s">
        <v>58</v>
      </c>
      <c r="J721" s="79" t="s">
        <v>999</v>
      </c>
      <c r="K721" s="166" t="s">
        <v>661</v>
      </c>
      <c r="L721" s="102" t="s">
        <v>661</v>
      </c>
      <c r="M721" s="97" t="s">
        <v>192</v>
      </c>
    </row>
    <row r="722" spans="1:13" ht="13.2">
      <c r="A722" s="498">
        <v>6</v>
      </c>
      <c r="B722" s="508"/>
      <c r="C722" s="508"/>
      <c r="D722" s="990"/>
      <c r="E722" s="498">
        <v>9</v>
      </c>
      <c r="F722" s="532" t="s">
        <v>1129</v>
      </c>
      <c r="G722" s="526" t="s">
        <v>606</v>
      </c>
      <c r="H722" s="565">
        <v>104.8</v>
      </c>
      <c r="I722" s="533" t="s">
        <v>58</v>
      </c>
      <c r="J722" s="79" t="s">
        <v>999</v>
      </c>
      <c r="K722" s="166" t="s">
        <v>661</v>
      </c>
      <c r="L722" s="102" t="s">
        <v>661</v>
      </c>
      <c r="M722" s="97" t="s">
        <v>192</v>
      </c>
    </row>
    <row r="723" spans="1:13" ht="13.2">
      <c r="A723" s="498">
        <v>6</v>
      </c>
      <c r="B723" s="508"/>
      <c r="C723" s="608"/>
      <c r="D723" s="1000"/>
      <c r="E723" s="498">
        <v>9</v>
      </c>
      <c r="F723" s="532" t="s">
        <v>1129</v>
      </c>
      <c r="G723" s="281" t="s">
        <v>258</v>
      </c>
      <c r="H723" s="565"/>
      <c r="I723" s="533" t="s">
        <v>58</v>
      </c>
      <c r="J723" s="79" t="s">
        <v>999</v>
      </c>
      <c r="K723" s="166" t="s">
        <v>661</v>
      </c>
      <c r="L723" s="102" t="s">
        <v>661</v>
      </c>
      <c r="M723" s="97" t="s">
        <v>192</v>
      </c>
    </row>
    <row r="724" spans="1:13" ht="13.2">
      <c r="A724" s="498">
        <v>6</v>
      </c>
      <c r="B724" s="508"/>
      <c r="C724" s="601" t="s">
        <v>1130</v>
      </c>
      <c r="D724" s="989" t="s">
        <v>1131</v>
      </c>
      <c r="E724" s="498" t="s">
        <v>478</v>
      </c>
      <c r="F724" s="531" t="s">
        <v>1132</v>
      </c>
      <c r="G724" s="526" t="s">
        <v>19</v>
      </c>
      <c r="H724" s="529">
        <f>24+21.5</f>
        <v>45.5</v>
      </c>
      <c r="I724" s="533" t="s">
        <v>58</v>
      </c>
      <c r="J724" s="76" t="s">
        <v>1133</v>
      </c>
      <c r="K724" s="166" t="s">
        <v>1134</v>
      </c>
      <c r="L724" s="82">
        <v>1</v>
      </c>
      <c r="M724" s="97" t="s">
        <v>185</v>
      </c>
    </row>
    <row r="725" spans="1:13" ht="13.2">
      <c r="A725" s="498">
        <v>6</v>
      </c>
      <c r="B725" s="508"/>
      <c r="C725" s="508"/>
      <c r="D725" s="1000"/>
      <c r="E725" s="498" t="s">
        <v>478</v>
      </c>
      <c r="F725" s="531" t="s">
        <v>1132</v>
      </c>
      <c r="G725" s="526" t="s">
        <v>1060</v>
      </c>
      <c r="H725" s="529">
        <v>500</v>
      </c>
      <c r="I725" s="533" t="s">
        <v>198</v>
      </c>
      <c r="J725" s="76" t="s">
        <v>1133</v>
      </c>
      <c r="K725" s="166" t="s">
        <v>372</v>
      </c>
      <c r="L725" s="82">
        <v>50</v>
      </c>
      <c r="M725" s="97" t="s">
        <v>185</v>
      </c>
    </row>
    <row r="726" spans="1:13" ht="30.6">
      <c r="A726" s="498">
        <v>6</v>
      </c>
      <c r="B726" s="508"/>
      <c r="C726" s="601" t="s">
        <v>1135</v>
      </c>
      <c r="D726" s="277" t="s">
        <v>1136</v>
      </c>
      <c r="E726" s="498">
        <v>9</v>
      </c>
      <c r="F726" s="531" t="s">
        <v>1137</v>
      </c>
      <c r="G726" s="526" t="s">
        <v>19</v>
      </c>
      <c r="H726" s="529"/>
      <c r="I726" s="533" t="s">
        <v>58</v>
      </c>
      <c r="J726" s="79"/>
      <c r="K726" s="166"/>
      <c r="L726" s="82"/>
      <c r="M726" s="83" t="s">
        <v>192</v>
      </c>
    </row>
    <row r="727" spans="1:13" ht="13.2">
      <c r="A727" s="498">
        <v>6</v>
      </c>
      <c r="B727" s="508"/>
      <c r="C727" s="610" t="s">
        <v>1138</v>
      </c>
      <c r="D727" s="1004" t="s">
        <v>1139</v>
      </c>
      <c r="E727" s="498">
        <v>9</v>
      </c>
      <c r="F727" s="531" t="s">
        <v>1140</v>
      </c>
      <c r="G727" s="526" t="s">
        <v>19</v>
      </c>
      <c r="H727" s="529">
        <v>20</v>
      </c>
      <c r="I727" s="611" t="s">
        <v>661</v>
      </c>
      <c r="J727" s="79" t="s">
        <v>999</v>
      </c>
      <c r="K727" s="166" t="s">
        <v>372</v>
      </c>
      <c r="L727" s="82">
        <v>30</v>
      </c>
      <c r="M727" s="83" t="s">
        <v>228</v>
      </c>
    </row>
    <row r="728" spans="1:13" ht="13.2">
      <c r="A728" s="498">
        <v>6</v>
      </c>
      <c r="B728" s="508"/>
      <c r="C728" s="612"/>
      <c r="D728" s="1005"/>
      <c r="E728" s="498">
        <v>9</v>
      </c>
      <c r="F728" s="531" t="s">
        <v>1140</v>
      </c>
      <c r="G728" s="526" t="s">
        <v>1060</v>
      </c>
      <c r="H728" s="529"/>
      <c r="I728" s="533" t="s">
        <v>661</v>
      </c>
      <c r="J728" s="79" t="s">
        <v>661</v>
      </c>
      <c r="K728" s="166" t="s">
        <v>661</v>
      </c>
      <c r="L728" s="82" t="s">
        <v>661</v>
      </c>
      <c r="M728" s="83" t="s">
        <v>228</v>
      </c>
    </row>
    <row r="729" spans="1:13" ht="13.2">
      <c r="A729" s="498">
        <v>6</v>
      </c>
      <c r="B729" s="508"/>
      <c r="C729" s="610" t="s">
        <v>1141</v>
      </c>
      <c r="D729" s="1004" t="s">
        <v>1142</v>
      </c>
      <c r="E729" s="498">
        <v>9</v>
      </c>
      <c r="F729" s="531" t="s">
        <v>1143</v>
      </c>
      <c r="G729" s="526" t="s">
        <v>19</v>
      </c>
      <c r="H729" s="529"/>
      <c r="I729" s="533" t="s">
        <v>661</v>
      </c>
      <c r="J729" s="79" t="s">
        <v>661</v>
      </c>
      <c r="K729" s="166" t="s">
        <v>661</v>
      </c>
      <c r="L729" s="82" t="s">
        <v>661</v>
      </c>
      <c r="M729" s="83" t="s">
        <v>228</v>
      </c>
    </row>
    <row r="730" spans="1:13" ht="13.2">
      <c r="A730" s="498">
        <v>6</v>
      </c>
      <c r="B730" s="508"/>
      <c r="C730" s="612"/>
      <c r="D730" s="1005"/>
      <c r="E730" s="498">
        <v>9</v>
      </c>
      <c r="F730" s="531" t="s">
        <v>1143</v>
      </c>
      <c r="G730" s="526" t="s">
        <v>1060</v>
      </c>
      <c r="H730" s="529"/>
      <c r="I730" s="533" t="s">
        <v>661</v>
      </c>
      <c r="J730" s="79" t="s">
        <v>661</v>
      </c>
      <c r="K730" s="166" t="s">
        <v>661</v>
      </c>
      <c r="L730" s="82" t="s">
        <v>661</v>
      </c>
      <c r="M730" s="83" t="s">
        <v>228</v>
      </c>
    </row>
    <row r="731" spans="1:13" ht="20.399999999999999">
      <c r="A731" s="498">
        <v>6</v>
      </c>
      <c r="B731" s="508"/>
      <c r="C731" s="610" t="s">
        <v>1144</v>
      </c>
      <c r="D731" s="551" t="s">
        <v>1145</v>
      </c>
      <c r="E731" s="498">
        <v>9</v>
      </c>
      <c r="F731" s="531" t="s">
        <v>1146</v>
      </c>
      <c r="G731" s="526" t="s">
        <v>19</v>
      </c>
      <c r="H731" s="529"/>
      <c r="I731" s="533" t="s">
        <v>661</v>
      </c>
      <c r="J731" s="79" t="s">
        <v>661</v>
      </c>
      <c r="K731" s="166" t="s">
        <v>661</v>
      </c>
      <c r="L731" s="82" t="s">
        <v>661</v>
      </c>
      <c r="M731" s="83" t="s">
        <v>256</v>
      </c>
    </row>
    <row r="732" spans="1:13" ht="31.2">
      <c r="A732" s="498">
        <v>6</v>
      </c>
      <c r="B732" s="508"/>
      <c r="C732" s="601" t="s">
        <v>1147</v>
      </c>
      <c r="D732" s="613" t="s">
        <v>1148</v>
      </c>
      <c r="E732" s="498">
        <v>9</v>
      </c>
      <c r="F732" s="531" t="s">
        <v>1149</v>
      </c>
      <c r="G732" s="526" t="s">
        <v>19</v>
      </c>
      <c r="H732" s="565">
        <v>40</v>
      </c>
      <c r="I732" s="533" t="s">
        <v>64</v>
      </c>
      <c r="J732" s="79" t="s">
        <v>226</v>
      </c>
      <c r="K732" s="166" t="s">
        <v>951</v>
      </c>
      <c r="L732" s="80">
        <v>100</v>
      </c>
      <c r="M732" s="97" t="s">
        <v>661</v>
      </c>
    </row>
    <row r="733" spans="1:13" ht="21" customHeight="1">
      <c r="A733" s="498">
        <v>6</v>
      </c>
      <c r="B733" s="231" t="s">
        <v>1150</v>
      </c>
      <c r="C733" s="231" t="s">
        <v>1150</v>
      </c>
      <c r="D733" s="614" t="s">
        <v>1151</v>
      </c>
      <c r="E733" s="507"/>
      <c r="F733" s="507"/>
      <c r="G733" s="523"/>
      <c r="H733" s="523"/>
      <c r="I733" s="235" t="s">
        <v>661</v>
      </c>
      <c r="J733" s="79" t="s">
        <v>661</v>
      </c>
      <c r="K733" s="166" t="s">
        <v>661</v>
      </c>
      <c r="L733" s="82" t="s">
        <v>661</v>
      </c>
      <c r="M733" s="83" t="s">
        <v>661</v>
      </c>
    </row>
    <row r="734" spans="1:13" ht="13.2">
      <c r="A734" s="498">
        <v>6</v>
      </c>
      <c r="B734" s="615"/>
      <c r="C734" s="615"/>
      <c r="D734" s="616"/>
      <c r="E734" s="595"/>
      <c r="F734" s="491"/>
      <c r="G734" s="511" t="s">
        <v>19</v>
      </c>
      <c r="H734" s="511">
        <f>SUM(H738,H742,H736,H735,H739,H740)</f>
        <v>90</v>
      </c>
      <c r="I734" s="235" t="s">
        <v>661</v>
      </c>
      <c r="J734" s="79" t="s">
        <v>661</v>
      </c>
      <c r="K734" s="166" t="s">
        <v>661</v>
      </c>
      <c r="L734" s="82" t="s">
        <v>661</v>
      </c>
      <c r="M734" s="83" t="s">
        <v>661</v>
      </c>
    </row>
    <row r="735" spans="1:13" ht="31.2">
      <c r="A735" s="498">
        <v>6</v>
      </c>
      <c r="B735" s="508"/>
      <c r="C735" s="508" t="s">
        <v>1152</v>
      </c>
      <c r="D735" s="509" t="s">
        <v>1153</v>
      </c>
      <c r="E735" s="513">
        <v>9</v>
      </c>
      <c r="F735" s="617" t="s">
        <v>1154</v>
      </c>
      <c r="G735" s="571" t="s">
        <v>19</v>
      </c>
      <c r="H735" s="514">
        <v>10</v>
      </c>
      <c r="I735" s="235" t="s">
        <v>49</v>
      </c>
      <c r="J735" s="79" t="s">
        <v>226</v>
      </c>
      <c r="K735" s="166" t="s">
        <v>1155</v>
      </c>
      <c r="L735" s="82">
        <v>100</v>
      </c>
      <c r="M735" s="83" t="s">
        <v>661</v>
      </c>
    </row>
    <row r="736" spans="1:13" ht="21">
      <c r="A736" s="498">
        <v>6</v>
      </c>
      <c r="B736" s="508"/>
      <c r="C736" s="508"/>
      <c r="D736" s="509"/>
      <c r="E736" s="513">
        <v>9</v>
      </c>
      <c r="F736" s="617" t="s">
        <v>1154</v>
      </c>
      <c r="G736" s="571" t="s">
        <v>19</v>
      </c>
      <c r="H736" s="527"/>
      <c r="I736" s="235" t="s">
        <v>198</v>
      </c>
      <c r="J736" s="79" t="s">
        <v>217</v>
      </c>
      <c r="K736" s="166" t="s">
        <v>1156</v>
      </c>
      <c r="L736" s="82">
        <v>1</v>
      </c>
      <c r="M736" s="83" t="s">
        <v>661</v>
      </c>
    </row>
    <row r="737" spans="1:13" ht="13.2">
      <c r="A737" s="498">
        <v>6</v>
      </c>
      <c r="B737" s="508"/>
      <c r="C737" s="508"/>
      <c r="D737" s="509"/>
      <c r="E737" s="513"/>
      <c r="F737" s="617" t="s">
        <v>1154</v>
      </c>
      <c r="G737" s="515" t="s">
        <v>257</v>
      </c>
      <c r="H737" s="220">
        <f>SUM(H735:H736)</f>
        <v>10</v>
      </c>
      <c r="I737" s="235" t="s">
        <v>661</v>
      </c>
      <c r="J737" s="79" t="s">
        <v>661</v>
      </c>
      <c r="K737" s="166" t="s">
        <v>661</v>
      </c>
      <c r="L737" s="82" t="s">
        <v>661</v>
      </c>
      <c r="M737" s="83" t="s">
        <v>661</v>
      </c>
    </row>
    <row r="738" spans="1:13" ht="20.399999999999999">
      <c r="A738" s="498">
        <v>6</v>
      </c>
      <c r="B738" s="508"/>
      <c r="C738" s="508" t="s">
        <v>1157</v>
      </c>
      <c r="D738" s="509" t="s">
        <v>1158</v>
      </c>
      <c r="E738" s="513">
        <v>9</v>
      </c>
      <c r="F738" s="510" t="s">
        <v>1159</v>
      </c>
      <c r="G738" s="492" t="s">
        <v>19</v>
      </c>
      <c r="H738" s="219"/>
      <c r="I738" s="235" t="s">
        <v>661</v>
      </c>
      <c r="J738" s="79"/>
      <c r="K738" s="166"/>
      <c r="L738" s="82"/>
      <c r="M738" s="83" t="s">
        <v>67</v>
      </c>
    </row>
    <row r="739" spans="1:13" ht="21">
      <c r="A739" s="498">
        <v>6</v>
      </c>
      <c r="B739" s="508"/>
      <c r="C739" s="508"/>
      <c r="D739" s="618" t="s">
        <v>1160</v>
      </c>
      <c r="E739" s="513">
        <v>23</v>
      </c>
      <c r="F739" s="510" t="s">
        <v>1159</v>
      </c>
      <c r="G739" s="573" t="s">
        <v>19</v>
      </c>
      <c r="H739" s="514">
        <v>15</v>
      </c>
      <c r="I739" s="235" t="s">
        <v>49</v>
      </c>
      <c r="J739" s="865" t="s">
        <v>1161</v>
      </c>
      <c r="K739" s="870" t="s">
        <v>1162</v>
      </c>
      <c r="L739" s="871">
        <v>3</v>
      </c>
      <c r="M739" s="83" t="s">
        <v>67</v>
      </c>
    </row>
    <row r="740" spans="1:13" ht="13.2">
      <c r="A740" s="498">
        <v>6</v>
      </c>
      <c r="B740" s="508"/>
      <c r="C740" s="508"/>
      <c r="D740" s="618" t="s">
        <v>1163</v>
      </c>
      <c r="E740" s="513">
        <v>9</v>
      </c>
      <c r="F740" s="510" t="s">
        <v>1159</v>
      </c>
      <c r="G740" s="573" t="s">
        <v>19</v>
      </c>
      <c r="H740" s="514"/>
      <c r="I740" s="235" t="s">
        <v>198</v>
      </c>
      <c r="J740" s="79"/>
      <c r="K740" s="166"/>
      <c r="L740" s="82"/>
      <c r="M740" s="83" t="s">
        <v>67</v>
      </c>
    </row>
    <row r="741" spans="1:13" ht="13.2">
      <c r="A741" s="498">
        <v>6</v>
      </c>
      <c r="B741" s="508"/>
      <c r="C741" s="508"/>
      <c r="D741" s="618"/>
      <c r="E741" s="513"/>
      <c r="F741" s="510"/>
      <c r="G741" s="515" t="s">
        <v>257</v>
      </c>
      <c r="H741" s="220">
        <f>SUM(H739:H740)</f>
        <v>15</v>
      </c>
      <c r="I741" s="235" t="s">
        <v>661</v>
      </c>
      <c r="J741" s="79" t="s">
        <v>661</v>
      </c>
      <c r="K741" s="166" t="s">
        <v>661</v>
      </c>
      <c r="L741" s="82" t="s">
        <v>661</v>
      </c>
      <c r="M741" s="83" t="s">
        <v>661</v>
      </c>
    </row>
    <row r="742" spans="1:13" ht="31.2">
      <c r="A742" s="498">
        <v>6</v>
      </c>
      <c r="B742" s="508"/>
      <c r="C742" s="508" t="s">
        <v>1164</v>
      </c>
      <c r="D742" s="509" t="s">
        <v>1165</v>
      </c>
      <c r="E742" s="513">
        <v>13</v>
      </c>
      <c r="F742" s="510" t="s">
        <v>1166</v>
      </c>
      <c r="G742" s="492" t="s">
        <v>19</v>
      </c>
      <c r="H742" s="514">
        <v>65</v>
      </c>
      <c r="I742" s="235" t="s">
        <v>49</v>
      </c>
      <c r="J742" s="79" t="s">
        <v>1167</v>
      </c>
      <c r="K742" s="166" t="s">
        <v>1168</v>
      </c>
      <c r="L742" s="82">
        <v>100</v>
      </c>
      <c r="M742" s="83" t="s">
        <v>661</v>
      </c>
    </row>
    <row r="743" spans="1:13" ht="13.2">
      <c r="A743" s="498">
        <v>6</v>
      </c>
      <c r="B743" s="508"/>
      <c r="C743" s="508"/>
      <c r="D743" s="509"/>
      <c r="E743" s="513"/>
      <c r="F743" s="510" t="s">
        <v>1166</v>
      </c>
      <c r="G743" s="515" t="s">
        <v>257</v>
      </c>
      <c r="H743" s="220">
        <f>SUM(H742)</f>
        <v>65</v>
      </c>
      <c r="I743" s="235" t="s">
        <v>661</v>
      </c>
      <c r="J743" s="79" t="s">
        <v>661</v>
      </c>
      <c r="K743" s="166" t="s">
        <v>661</v>
      </c>
      <c r="L743" s="82" t="s">
        <v>661</v>
      </c>
      <c r="M743" s="83" t="s">
        <v>661</v>
      </c>
    </row>
    <row r="744" spans="1:13" ht="20.399999999999999">
      <c r="A744" s="498">
        <v>6</v>
      </c>
      <c r="B744" s="499"/>
      <c r="C744" s="499"/>
      <c r="D744" s="500" t="s">
        <v>1169</v>
      </c>
      <c r="E744" s="519"/>
      <c r="F744" s="520"/>
      <c r="G744" s="521"/>
      <c r="H744" s="522"/>
      <c r="I744" s="505" t="s">
        <v>661</v>
      </c>
      <c r="J744" s="86" t="s">
        <v>661</v>
      </c>
      <c r="K744" s="167" t="s">
        <v>661</v>
      </c>
      <c r="L744" s="87" t="s">
        <v>661</v>
      </c>
      <c r="M744" s="88" t="s">
        <v>661</v>
      </c>
    </row>
    <row r="745" spans="1:13" ht="30.6">
      <c r="A745" s="498">
        <v>6</v>
      </c>
      <c r="B745" s="231" t="s">
        <v>1170</v>
      </c>
      <c r="C745" s="231" t="s">
        <v>1170</v>
      </c>
      <c r="D745" s="506" t="s">
        <v>1171</v>
      </c>
      <c r="E745" s="507"/>
      <c r="F745" s="507"/>
      <c r="G745" s="619"/>
      <c r="H745" s="523"/>
      <c r="I745" s="533" t="s">
        <v>661</v>
      </c>
      <c r="J745" s="79" t="s">
        <v>661</v>
      </c>
      <c r="K745" s="166" t="s">
        <v>661</v>
      </c>
      <c r="L745" s="80" t="s">
        <v>661</v>
      </c>
      <c r="M745" s="81" t="s">
        <v>661</v>
      </c>
    </row>
    <row r="746" spans="1:13" ht="13.2">
      <c r="A746" s="498">
        <v>6</v>
      </c>
      <c r="B746" s="615"/>
      <c r="C746" s="615"/>
      <c r="D746" s="616"/>
      <c r="E746" s="534"/>
      <c r="F746" s="567"/>
      <c r="G746" s="620" t="s">
        <v>19</v>
      </c>
      <c r="H746" s="322">
        <f>SUM(H749,H751,H752)</f>
        <v>275.40000000000009</v>
      </c>
      <c r="I746" s="533" t="s">
        <v>661</v>
      </c>
      <c r="J746" s="79" t="s">
        <v>661</v>
      </c>
      <c r="K746" s="166" t="s">
        <v>661</v>
      </c>
      <c r="L746" s="80" t="s">
        <v>661</v>
      </c>
      <c r="M746" s="81" t="s">
        <v>661</v>
      </c>
    </row>
    <row r="747" spans="1:13" ht="13.2">
      <c r="A747" s="498">
        <v>6</v>
      </c>
      <c r="B747" s="615"/>
      <c r="C747" s="615"/>
      <c r="D747" s="616"/>
      <c r="E747" s="534"/>
      <c r="F747" s="567"/>
      <c r="G747" s="620" t="s">
        <v>178</v>
      </c>
      <c r="H747" s="322">
        <f>H750</f>
        <v>1200</v>
      </c>
      <c r="I747" s="533"/>
      <c r="J747" s="79"/>
      <c r="K747" s="166"/>
      <c r="L747" s="80"/>
      <c r="M747" s="81"/>
    </row>
    <row r="748" spans="1:13" ht="13.2">
      <c r="A748" s="498">
        <v>6</v>
      </c>
      <c r="B748" s="615"/>
      <c r="C748" s="615"/>
      <c r="D748" s="616"/>
      <c r="E748" s="534"/>
      <c r="F748" s="567"/>
      <c r="G748" s="515" t="s">
        <v>257</v>
      </c>
      <c r="H748" s="220">
        <f>SUM(H746,H747)</f>
        <v>1475.4</v>
      </c>
      <c r="I748" s="533"/>
      <c r="J748" s="79"/>
      <c r="K748" s="166"/>
      <c r="L748" s="80"/>
      <c r="M748" s="81"/>
    </row>
    <row r="749" spans="1:13" ht="16.2" customHeight="1">
      <c r="A749" s="498">
        <v>6</v>
      </c>
      <c r="B749" s="508"/>
      <c r="C749" s="508" t="s">
        <v>1173</v>
      </c>
      <c r="D749" s="999" t="s">
        <v>1174</v>
      </c>
      <c r="E749" s="513">
        <v>9</v>
      </c>
      <c r="F749" s="510" t="s">
        <v>1172</v>
      </c>
      <c r="G749" s="492" t="s">
        <v>19</v>
      </c>
      <c r="H749" s="621">
        <f>1425.4-1000-100-100</f>
        <v>225.40000000000009</v>
      </c>
      <c r="I749" s="235" t="s">
        <v>58</v>
      </c>
      <c r="J749" s="76" t="s">
        <v>226</v>
      </c>
      <c r="K749" s="164" t="s">
        <v>1070</v>
      </c>
      <c r="L749" s="102">
        <v>100</v>
      </c>
      <c r="M749" s="97" t="s">
        <v>185</v>
      </c>
    </row>
    <row r="750" spans="1:13" ht="30.6" customHeight="1">
      <c r="A750" s="498">
        <v>6</v>
      </c>
      <c r="B750" s="508"/>
      <c r="C750" s="508"/>
      <c r="D750" s="1000"/>
      <c r="E750" s="513">
        <v>9</v>
      </c>
      <c r="F750" s="510" t="s">
        <v>1172</v>
      </c>
      <c r="G750" s="492" t="s">
        <v>178</v>
      </c>
      <c r="H750" s="621">
        <v>1200</v>
      </c>
      <c r="I750" s="235"/>
      <c r="J750" s="76" t="s">
        <v>226</v>
      </c>
      <c r="K750" s="164"/>
      <c r="L750" s="102"/>
      <c r="M750" s="97"/>
    </row>
    <row r="751" spans="1:13" ht="18" customHeight="1">
      <c r="A751" s="498">
        <v>6</v>
      </c>
      <c r="B751" s="508"/>
      <c r="C751" s="508" t="s">
        <v>1175</v>
      </c>
      <c r="D751" s="999" t="s">
        <v>1176</v>
      </c>
      <c r="E751" s="513">
        <v>9</v>
      </c>
      <c r="F751" s="510" t="s">
        <v>1177</v>
      </c>
      <c r="G751" s="492" t="s">
        <v>19</v>
      </c>
      <c r="H751" s="529">
        <v>35</v>
      </c>
      <c r="I751" s="235" t="s">
        <v>661</v>
      </c>
      <c r="J751" s="76" t="s">
        <v>226</v>
      </c>
      <c r="K751" s="166" t="s">
        <v>1178</v>
      </c>
      <c r="L751" s="102">
        <v>1</v>
      </c>
      <c r="M751" s="97" t="s">
        <v>661</v>
      </c>
    </row>
    <row r="752" spans="1:13" ht="51.6">
      <c r="A752" s="498">
        <v>6</v>
      </c>
      <c r="B752" s="508"/>
      <c r="C752" s="508"/>
      <c r="D752" s="1000"/>
      <c r="E752" s="513">
        <v>27</v>
      </c>
      <c r="F752" s="510" t="s">
        <v>2113</v>
      </c>
      <c r="G752" s="492" t="s">
        <v>19</v>
      </c>
      <c r="H752" s="529">
        <v>15</v>
      </c>
      <c r="I752" s="235" t="s">
        <v>661</v>
      </c>
      <c r="J752" s="76" t="s">
        <v>1179</v>
      </c>
      <c r="K752" s="76" t="s">
        <v>1180</v>
      </c>
      <c r="L752" s="868" t="s">
        <v>1181</v>
      </c>
      <c r="M752" s="97" t="s">
        <v>661</v>
      </c>
    </row>
    <row r="753" spans="1:13" ht="13.2">
      <c r="A753" s="498">
        <v>6</v>
      </c>
      <c r="B753" s="231" t="s">
        <v>1182</v>
      </c>
      <c r="C753" s="231" t="s">
        <v>1182</v>
      </c>
      <c r="D753" s="506" t="s">
        <v>1183</v>
      </c>
      <c r="E753" s="507">
        <v>9</v>
      </c>
      <c r="F753" s="507" t="s">
        <v>1184</v>
      </c>
      <c r="G753" s="523" t="s">
        <v>19</v>
      </c>
      <c r="H753" s="523">
        <f>H758+H759</f>
        <v>95</v>
      </c>
      <c r="I753" s="533" t="s">
        <v>58</v>
      </c>
      <c r="J753" s="79" t="s">
        <v>661</v>
      </c>
      <c r="K753" s="165" t="s">
        <v>661</v>
      </c>
      <c r="L753" s="82" t="s">
        <v>661</v>
      </c>
      <c r="M753" s="83" t="s">
        <v>661</v>
      </c>
    </row>
    <row r="754" spans="1:13" ht="13.2">
      <c r="A754" s="498">
        <v>6</v>
      </c>
      <c r="B754" s="615"/>
      <c r="C754" s="615"/>
      <c r="D754" s="616"/>
      <c r="E754" s="534"/>
      <c r="F754" s="567"/>
      <c r="G754" s="622" t="s">
        <v>22</v>
      </c>
      <c r="H754" s="322">
        <f>H757</f>
        <v>7.2</v>
      </c>
      <c r="I754" s="533" t="s">
        <v>661</v>
      </c>
      <c r="J754" s="79" t="s">
        <v>661</v>
      </c>
      <c r="K754" s="166" t="s">
        <v>661</v>
      </c>
      <c r="L754" s="82" t="s">
        <v>661</v>
      </c>
      <c r="M754" s="83" t="s">
        <v>661</v>
      </c>
    </row>
    <row r="755" spans="1:13" ht="13.2">
      <c r="A755" s="498">
        <v>6</v>
      </c>
      <c r="B755" s="615"/>
      <c r="C755" s="615"/>
      <c r="D755" s="616"/>
      <c r="E755" s="534"/>
      <c r="F755" s="567"/>
      <c r="G755" s="622" t="s">
        <v>259</v>
      </c>
      <c r="H755" s="322"/>
      <c r="I755" s="533" t="s">
        <v>661</v>
      </c>
      <c r="J755" s="79" t="s">
        <v>661</v>
      </c>
      <c r="K755" s="166" t="s">
        <v>661</v>
      </c>
      <c r="L755" s="82" t="s">
        <v>661</v>
      </c>
      <c r="M755" s="83" t="s">
        <v>661</v>
      </c>
    </row>
    <row r="756" spans="1:13" ht="13.2">
      <c r="A756" s="498">
        <v>6</v>
      </c>
      <c r="B756" s="615"/>
      <c r="C756" s="615"/>
      <c r="D756" s="616"/>
      <c r="E756" s="534"/>
      <c r="F756" s="567"/>
      <c r="G756" s="515" t="s">
        <v>257</v>
      </c>
      <c r="H756" s="220">
        <f>SUM(H754,H753,H755)</f>
        <v>102.2</v>
      </c>
      <c r="I756" s="533" t="s">
        <v>661</v>
      </c>
      <c r="J756" s="79" t="s">
        <v>661</v>
      </c>
      <c r="K756" s="166" t="s">
        <v>661</v>
      </c>
      <c r="L756" s="82" t="s">
        <v>661</v>
      </c>
      <c r="M756" s="83" t="s">
        <v>661</v>
      </c>
    </row>
    <row r="757" spans="1:13" ht="13.2">
      <c r="A757" s="498">
        <v>6</v>
      </c>
      <c r="B757" s="508"/>
      <c r="C757" s="508" t="s">
        <v>1185</v>
      </c>
      <c r="D757" s="623" t="s">
        <v>1186</v>
      </c>
      <c r="E757" s="513">
        <v>9</v>
      </c>
      <c r="F757" s="510" t="s">
        <v>1184</v>
      </c>
      <c r="G757" s="584" t="s">
        <v>22</v>
      </c>
      <c r="H757" s="219">
        <v>7.2</v>
      </c>
      <c r="I757" s="235" t="s">
        <v>661</v>
      </c>
      <c r="J757" s="79" t="s">
        <v>1187</v>
      </c>
      <c r="K757" s="166" t="s">
        <v>1188</v>
      </c>
      <c r="L757" s="82">
        <v>2</v>
      </c>
      <c r="M757" s="83" t="s">
        <v>661</v>
      </c>
    </row>
    <row r="758" spans="1:13" ht="20.399999999999999">
      <c r="A758" s="498">
        <v>6</v>
      </c>
      <c r="B758" s="508"/>
      <c r="C758" s="508" t="s">
        <v>1189</v>
      </c>
      <c r="D758" s="256" t="s">
        <v>1190</v>
      </c>
      <c r="E758" s="513">
        <v>9</v>
      </c>
      <c r="F758" s="510" t="s">
        <v>1184</v>
      </c>
      <c r="G758" s="573" t="s">
        <v>19</v>
      </c>
      <c r="H758" s="621"/>
      <c r="I758" s="235" t="s">
        <v>58</v>
      </c>
      <c r="J758" s="79"/>
      <c r="K758" s="166"/>
      <c r="L758" s="82"/>
      <c r="M758" s="83" t="s">
        <v>1191</v>
      </c>
    </row>
    <row r="759" spans="1:13" ht="21">
      <c r="A759" s="498">
        <v>6</v>
      </c>
      <c r="B759" s="508"/>
      <c r="C759" s="508" t="s">
        <v>1192</v>
      </c>
      <c r="D759" s="256" t="s">
        <v>1193</v>
      </c>
      <c r="E759" s="513">
        <v>9</v>
      </c>
      <c r="F759" s="510" t="s">
        <v>1184</v>
      </c>
      <c r="G759" s="573" t="s">
        <v>19</v>
      </c>
      <c r="H759" s="621">
        <v>95</v>
      </c>
      <c r="I759" s="235" t="s">
        <v>198</v>
      </c>
      <c r="J759" s="76" t="s">
        <v>1187</v>
      </c>
      <c r="K759" s="164" t="s">
        <v>1194</v>
      </c>
      <c r="L759" s="102">
        <v>1</v>
      </c>
      <c r="M759" s="97" t="s">
        <v>228</v>
      </c>
    </row>
    <row r="760" spans="1:13" ht="20.399999999999999">
      <c r="A760" s="498">
        <v>6</v>
      </c>
      <c r="B760" s="499"/>
      <c r="C760" s="499"/>
      <c r="D760" s="500" t="s">
        <v>1195</v>
      </c>
      <c r="E760" s="519"/>
      <c r="F760" s="520"/>
      <c r="G760" s="521"/>
      <c r="H760" s="522"/>
      <c r="I760" s="505" t="s">
        <v>661</v>
      </c>
      <c r="J760" s="86" t="s">
        <v>661</v>
      </c>
      <c r="K760" s="167" t="s">
        <v>661</v>
      </c>
      <c r="L760" s="87" t="s">
        <v>661</v>
      </c>
      <c r="M760" s="88" t="s">
        <v>661</v>
      </c>
    </row>
    <row r="761" spans="1:13" ht="20.399999999999999">
      <c r="A761" s="498">
        <v>6</v>
      </c>
      <c r="B761" s="231" t="s">
        <v>1196</v>
      </c>
      <c r="C761" s="231" t="s">
        <v>1196</v>
      </c>
      <c r="D761" s="506" t="s">
        <v>1197</v>
      </c>
      <c r="E761" s="507"/>
      <c r="F761" s="507"/>
      <c r="G761" s="523"/>
      <c r="H761" s="523"/>
      <c r="I761" s="235" t="s">
        <v>661</v>
      </c>
      <c r="J761" s="79" t="s">
        <v>661</v>
      </c>
      <c r="K761" s="166" t="s">
        <v>661</v>
      </c>
      <c r="L761" s="82" t="s">
        <v>661</v>
      </c>
      <c r="M761" s="83" t="s">
        <v>661</v>
      </c>
    </row>
    <row r="762" spans="1:13" ht="13.2">
      <c r="A762" s="498">
        <v>6</v>
      </c>
      <c r="B762" s="615"/>
      <c r="C762" s="615"/>
      <c r="D762" s="616"/>
      <c r="E762" s="534"/>
      <c r="F762" s="567"/>
      <c r="G762" s="620" t="s">
        <v>19</v>
      </c>
      <c r="H762" s="322">
        <f>SUM(H765,H764,H766)</f>
        <v>1550</v>
      </c>
      <c r="I762" s="235" t="s">
        <v>661</v>
      </c>
      <c r="J762" s="79" t="s">
        <v>661</v>
      </c>
      <c r="K762" s="166" t="s">
        <v>661</v>
      </c>
      <c r="L762" s="82" t="s">
        <v>661</v>
      </c>
      <c r="M762" s="83" t="s">
        <v>661</v>
      </c>
    </row>
    <row r="763" spans="1:13" ht="13.2">
      <c r="A763" s="498">
        <v>6</v>
      </c>
      <c r="B763" s="615"/>
      <c r="C763" s="615"/>
      <c r="D763" s="616"/>
      <c r="E763" s="534"/>
      <c r="F763" s="567"/>
      <c r="G763" s="515" t="s">
        <v>257</v>
      </c>
      <c r="H763" s="220">
        <f>H762</f>
        <v>1550</v>
      </c>
      <c r="I763" s="235" t="s">
        <v>661</v>
      </c>
      <c r="J763" s="79" t="s">
        <v>661</v>
      </c>
      <c r="K763" s="166" t="s">
        <v>661</v>
      </c>
      <c r="L763" s="82" t="s">
        <v>661</v>
      </c>
      <c r="M763" s="83" t="s">
        <v>661</v>
      </c>
    </row>
    <row r="764" spans="1:13" ht="21">
      <c r="A764" s="498">
        <v>6</v>
      </c>
      <c r="B764" s="516"/>
      <c r="C764" s="516" t="s">
        <v>1198</v>
      </c>
      <c r="D764" s="509" t="s">
        <v>1199</v>
      </c>
      <c r="E764" s="624">
        <v>9</v>
      </c>
      <c r="F764" s="492" t="s">
        <v>1200</v>
      </c>
      <c r="G764" s="491" t="s">
        <v>19</v>
      </c>
      <c r="H764" s="219">
        <v>150</v>
      </c>
      <c r="I764" s="235" t="s">
        <v>49</v>
      </c>
      <c r="J764" s="79" t="s">
        <v>1187</v>
      </c>
      <c r="K764" s="166" t="s">
        <v>1201</v>
      </c>
      <c r="L764" s="80">
        <v>100</v>
      </c>
      <c r="M764" s="81" t="s">
        <v>661</v>
      </c>
    </row>
    <row r="765" spans="1:13" ht="51.6">
      <c r="A765" s="498">
        <v>6</v>
      </c>
      <c r="B765" s="516"/>
      <c r="C765" s="516" t="s">
        <v>1202</v>
      </c>
      <c r="D765" s="509" t="s">
        <v>1203</v>
      </c>
      <c r="E765" s="624">
        <v>9</v>
      </c>
      <c r="F765" s="492" t="s">
        <v>1204</v>
      </c>
      <c r="G765" s="491" t="s">
        <v>19</v>
      </c>
      <c r="H765" s="219">
        <v>200</v>
      </c>
      <c r="I765" s="235" t="s">
        <v>58</v>
      </c>
      <c r="J765" s="79" t="s">
        <v>1187</v>
      </c>
      <c r="K765" s="166" t="s">
        <v>1205</v>
      </c>
      <c r="L765" s="80">
        <v>100</v>
      </c>
      <c r="M765" s="114" t="s">
        <v>661</v>
      </c>
    </row>
    <row r="766" spans="1:13" ht="20.399999999999999">
      <c r="A766" s="498">
        <v>6</v>
      </c>
      <c r="B766" s="516"/>
      <c r="C766" s="516" t="s">
        <v>1206</v>
      </c>
      <c r="D766" s="524" t="s">
        <v>1207</v>
      </c>
      <c r="E766" s="624">
        <v>6</v>
      </c>
      <c r="F766" s="492" t="s">
        <v>1208</v>
      </c>
      <c r="G766" s="491" t="s">
        <v>19</v>
      </c>
      <c r="H766" s="219">
        <f>1200-700+700</f>
        <v>1200</v>
      </c>
      <c r="I766" s="235" t="s">
        <v>58</v>
      </c>
      <c r="J766" s="79" t="s">
        <v>89</v>
      </c>
      <c r="K766" s="164" t="s">
        <v>1209</v>
      </c>
      <c r="L766" s="102">
        <v>100</v>
      </c>
      <c r="M766" s="114" t="s">
        <v>661</v>
      </c>
    </row>
    <row r="767" spans="1:13" ht="20.399999999999999">
      <c r="A767" s="498">
        <v>6</v>
      </c>
      <c r="B767" s="231" t="s">
        <v>1210</v>
      </c>
      <c r="C767" s="231" t="s">
        <v>1210</v>
      </c>
      <c r="D767" s="506" t="s">
        <v>1211</v>
      </c>
      <c r="E767" s="507"/>
      <c r="F767" s="507"/>
      <c r="G767" s="523"/>
      <c r="H767" s="523"/>
      <c r="I767" s="235" t="s">
        <v>661</v>
      </c>
      <c r="J767" s="79" t="s">
        <v>661</v>
      </c>
      <c r="K767" s="166" t="s">
        <v>661</v>
      </c>
      <c r="L767" s="82" t="s">
        <v>661</v>
      </c>
      <c r="M767" s="83" t="s">
        <v>661</v>
      </c>
    </row>
    <row r="768" spans="1:13" ht="13.2">
      <c r="A768" s="498">
        <v>6</v>
      </c>
      <c r="B768" s="615"/>
      <c r="C768" s="615"/>
      <c r="D768" s="616"/>
      <c r="E768" s="625"/>
      <c r="F768" s="625"/>
      <c r="G768" s="620" t="s">
        <v>19</v>
      </c>
      <c r="H768" s="322">
        <f>SUM(H769,H770,H771,H772,H773,H774,H775,H776,H777,H778,H779)</f>
        <v>465</v>
      </c>
      <c r="I768" s="235" t="s">
        <v>661</v>
      </c>
      <c r="J768" s="79" t="s">
        <v>661</v>
      </c>
      <c r="K768" s="165" t="s">
        <v>661</v>
      </c>
      <c r="L768" s="82" t="s">
        <v>661</v>
      </c>
      <c r="M768" s="83" t="s">
        <v>661</v>
      </c>
    </row>
    <row r="769" spans="1:13" ht="13.2">
      <c r="A769" s="498">
        <v>6</v>
      </c>
      <c r="B769" s="516"/>
      <c r="C769" s="516" t="s">
        <v>1212</v>
      </c>
      <c r="D769" s="509" t="s">
        <v>1213</v>
      </c>
      <c r="E769" s="626">
        <v>19</v>
      </c>
      <c r="F769" s="627" t="s">
        <v>1214</v>
      </c>
      <c r="G769" s="571" t="s">
        <v>19</v>
      </c>
      <c r="H769" s="219">
        <v>7.1999999999999993</v>
      </c>
      <c r="I769" s="235" t="s">
        <v>49</v>
      </c>
      <c r="J769" s="79" t="s">
        <v>1215</v>
      </c>
      <c r="K769" s="166" t="s">
        <v>1216</v>
      </c>
      <c r="L769" s="80">
        <v>263</v>
      </c>
      <c r="M769" s="81" t="s">
        <v>222</v>
      </c>
    </row>
    <row r="770" spans="1:13" ht="21">
      <c r="A770" s="498">
        <v>6</v>
      </c>
      <c r="B770" s="516"/>
      <c r="C770" s="516" t="s">
        <v>1217</v>
      </c>
      <c r="D770" s="509" t="s">
        <v>1218</v>
      </c>
      <c r="E770" s="626">
        <v>20</v>
      </c>
      <c r="F770" s="627" t="s">
        <v>1219</v>
      </c>
      <c r="G770" s="571" t="s">
        <v>19</v>
      </c>
      <c r="H770" s="219">
        <v>18.2</v>
      </c>
      <c r="I770" s="235" t="s">
        <v>49</v>
      </c>
      <c r="J770" s="79" t="s">
        <v>911</v>
      </c>
      <c r="K770" s="166" t="s">
        <v>1216</v>
      </c>
      <c r="L770" s="80">
        <v>499</v>
      </c>
      <c r="M770" s="81" t="s">
        <v>562</v>
      </c>
    </row>
    <row r="771" spans="1:13" ht="13.2">
      <c r="A771" s="498">
        <v>6</v>
      </c>
      <c r="B771" s="516"/>
      <c r="C771" s="516" t="s">
        <v>1220</v>
      </c>
      <c r="D771" s="509" t="s">
        <v>1221</v>
      </c>
      <c r="E771" s="626">
        <v>21</v>
      </c>
      <c r="F771" s="627" t="s">
        <v>1222</v>
      </c>
      <c r="G771" s="571" t="s">
        <v>19</v>
      </c>
      <c r="H771" s="219">
        <v>25.9</v>
      </c>
      <c r="I771" s="235" t="s">
        <v>49</v>
      </c>
      <c r="J771" s="79" t="s">
        <v>1223</v>
      </c>
      <c r="K771" s="166" t="s">
        <v>1216</v>
      </c>
      <c r="L771" s="80">
        <v>465</v>
      </c>
      <c r="M771" s="81" t="s">
        <v>189</v>
      </c>
    </row>
    <row r="772" spans="1:13" ht="13.2">
      <c r="A772" s="498">
        <v>6</v>
      </c>
      <c r="B772" s="516"/>
      <c r="C772" s="516" t="s">
        <v>1224</v>
      </c>
      <c r="D772" s="509" t="s">
        <v>1225</v>
      </c>
      <c r="E772" s="626">
        <v>22</v>
      </c>
      <c r="F772" s="627" t="s">
        <v>1226</v>
      </c>
      <c r="G772" s="571" t="s">
        <v>19</v>
      </c>
      <c r="H772" s="219">
        <v>17.600000000000001</v>
      </c>
      <c r="I772" s="235" t="s">
        <v>49</v>
      </c>
      <c r="J772" s="79" t="s">
        <v>1227</v>
      </c>
      <c r="K772" s="166" t="s">
        <v>1216</v>
      </c>
      <c r="L772" s="80">
        <v>232</v>
      </c>
      <c r="M772" s="81" t="s">
        <v>256</v>
      </c>
    </row>
    <row r="773" spans="1:13" ht="21">
      <c r="A773" s="498">
        <v>6</v>
      </c>
      <c r="B773" s="516"/>
      <c r="C773" s="516" t="s">
        <v>1228</v>
      </c>
      <c r="D773" s="509" t="s">
        <v>1229</v>
      </c>
      <c r="E773" s="626">
        <v>23</v>
      </c>
      <c r="F773" s="627" t="s">
        <v>1230</v>
      </c>
      <c r="G773" s="571" t="s">
        <v>19</v>
      </c>
      <c r="H773" s="219">
        <v>164</v>
      </c>
      <c r="I773" s="235" t="s">
        <v>49</v>
      </c>
      <c r="J773" s="865" t="s">
        <v>1161</v>
      </c>
      <c r="K773" s="166" t="s">
        <v>1216</v>
      </c>
      <c r="L773" s="938">
        <v>1213</v>
      </c>
      <c r="M773" s="81" t="s">
        <v>67</v>
      </c>
    </row>
    <row r="774" spans="1:13" ht="13.2">
      <c r="A774" s="498">
        <v>6</v>
      </c>
      <c r="B774" s="516"/>
      <c r="C774" s="516" t="s">
        <v>1231</v>
      </c>
      <c r="D774" s="509" t="s">
        <v>1232</v>
      </c>
      <c r="E774" s="626">
        <v>24</v>
      </c>
      <c r="F774" s="627" t="s">
        <v>1233</v>
      </c>
      <c r="G774" s="571" t="s">
        <v>19</v>
      </c>
      <c r="H774" s="219">
        <v>14.6</v>
      </c>
      <c r="I774" s="235" t="s">
        <v>49</v>
      </c>
      <c r="J774" s="79" t="s">
        <v>1234</v>
      </c>
      <c r="K774" s="166" t="s">
        <v>1216</v>
      </c>
      <c r="L774" s="80">
        <v>190</v>
      </c>
      <c r="M774" s="81" t="s">
        <v>373</v>
      </c>
    </row>
    <row r="775" spans="1:13" ht="13.2">
      <c r="A775" s="498">
        <v>6</v>
      </c>
      <c r="B775" s="516"/>
      <c r="C775" s="516" t="s">
        <v>1235</v>
      </c>
      <c r="D775" s="509" t="s">
        <v>1236</v>
      </c>
      <c r="E775" s="626">
        <v>25</v>
      </c>
      <c r="F775" s="627" t="s">
        <v>1237</v>
      </c>
      <c r="G775" s="571" t="s">
        <v>19</v>
      </c>
      <c r="H775" s="219">
        <v>38.4</v>
      </c>
      <c r="I775" s="235" t="s">
        <v>49</v>
      </c>
      <c r="J775" s="79" t="s">
        <v>1238</v>
      </c>
      <c r="K775" s="166" t="s">
        <v>1216</v>
      </c>
      <c r="L775" s="80">
        <v>379</v>
      </c>
      <c r="M775" s="81" t="s">
        <v>228</v>
      </c>
    </row>
    <row r="776" spans="1:13" ht="21">
      <c r="A776" s="498">
        <v>6</v>
      </c>
      <c r="B776" s="516"/>
      <c r="C776" s="516" t="s">
        <v>1239</v>
      </c>
      <c r="D776" s="509" t="s">
        <v>1240</v>
      </c>
      <c r="E776" s="626">
        <v>26</v>
      </c>
      <c r="F776" s="627" t="s">
        <v>1241</v>
      </c>
      <c r="G776" s="571" t="s">
        <v>19</v>
      </c>
      <c r="H776" s="219">
        <v>62.8</v>
      </c>
      <c r="I776" s="235" t="s">
        <v>49</v>
      </c>
      <c r="J776" s="79" t="s">
        <v>1242</v>
      </c>
      <c r="K776" s="166" t="s">
        <v>1216</v>
      </c>
      <c r="L776" s="80">
        <v>768</v>
      </c>
      <c r="M776" s="81" t="s">
        <v>192</v>
      </c>
    </row>
    <row r="777" spans="1:13" ht="13.2">
      <c r="A777" s="498">
        <v>6</v>
      </c>
      <c r="B777" s="516"/>
      <c r="C777" s="516" t="s">
        <v>1243</v>
      </c>
      <c r="D777" s="509" t="s">
        <v>1244</v>
      </c>
      <c r="E777" s="626">
        <v>27</v>
      </c>
      <c r="F777" s="627" t="s">
        <v>1245</v>
      </c>
      <c r="G777" s="571" t="s">
        <v>19</v>
      </c>
      <c r="H777" s="219">
        <v>49.3</v>
      </c>
      <c r="I777" s="235" t="s">
        <v>49</v>
      </c>
      <c r="J777" s="79" t="s">
        <v>1246</v>
      </c>
      <c r="K777" s="166" t="s">
        <v>1216</v>
      </c>
      <c r="L777" s="80">
        <v>758</v>
      </c>
      <c r="M777" s="81" t="s">
        <v>185</v>
      </c>
    </row>
    <row r="778" spans="1:13" ht="13.2">
      <c r="A778" s="498">
        <v>6</v>
      </c>
      <c r="B778" s="516"/>
      <c r="C778" s="516" t="s">
        <v>1247</v>
      </c>
      <c r="D778" s="509" t="s">
        <v>1248</v>
      </c>
      <c r="E778" s="626">
        <v>28</v>
      </c>
      <c r="F778" s="627" t="s">
        <v>1249</v>
      </c>
      <c r="G778" s="571" t="s">
        <v>19</v>
      </c>
      <c r="H778" s="219">
        <v>31.5</v>
      </c>
      <c r="I778" s="235" t="s">
        <v>49</v>
      </c>
      <c r="J778" s="79" t="s">
        <v>1250</v>
      </c>
      <c r="K778" s="166" t="s">
        <v>1216</v>
      </c>
      <c r="L778" s="80">
        <v>366</v>
      </c>
      <c r="M778" s="81" t="s">
        <v>200</v>
      </c>
    </row>
    <row r="779" spans="1:13" ht="13.2">
      <c r="A779" s="498">
        <v>6</v>
      </c>
      <c r="B779" s="516"/>
      <c r="C779" s="516" t="s">
        <v>1251</v>
      </c>
      <c r="D779" s="509" t="s">
        <v>1252</v>
      </c>
      <c r="E779" s="626">
        <v>29</v>
      </c>
      <c r="F779" s="627" t="s">
        <v>1253</v>
      </c>
      <c r="G779" s="571" t="s">
        <v>19</v>
      </c>
      <c r="H779" s="219">
        <v>35.5</v>
      </c>
      <c r="I779" s="235" t="s">
        <v>49</v>
      </c>
      <c r="J779" s="79" t="s">
        <v>1254</v>
      </c>
      <c r="K779" s="166" t="s">
        <v>1216</v>
      </c>
      <c r="L779" s="80">
        <v>852</v>
      </c>
      <c r="M779" s="81" t="s">
        <v>227</v>
      </c>
    </row>
    <row r="780" spans="1:13" ht="20.399999999999999">
      <c r="A780" s="498">
        <v>6</v>
      </c>
      <c r="B780" s="499"/>
      <c r="C780" s="499"/>
      <c r="D780" s="500" t="s">
        <v>1255</v>
      </c>
      <c r="E780" s="519"/>
      <c r="F780" s="520"/>
      <c r="G780" s="521"/>
      <c r="H780" s="522"/>
      <c r="I780" s="505" t="s">
        <v>661</v>
      </c>
      <c r="J780" s="86" t="s">
        <v>661</v>
      </c>
      <c r="K780" s="167" t="s">
        <v>661</v>
      </c>
      <c r="L780" s="87" t="s">
        <v>661</v>
      </c>
      <c r="M780" s="88" t="s">
        <v>661</v>
      </c>
    </row>
    <row r="781" spans="1:13" ht="13.2">
      <c r="A781" s="498">
        <v>6</v>
      </c>
      <c r="B781" s="231" t="s">
        <v>1256</v>
      </c>
      <c r="C781" s="231" t="s">
        <v>1256</v>
      </c>
      <c r="D781" s="506" t="s">
        <v>1257</v>
      </c>
      <c r="E781" s="507"/>
      <c r="F781" s="507"/>
      <c r="G781" s="523"/>
      <c r="H781" s="523"/>
      <c r="I781" s="235" t="s">
        <v>661</v>
      </c>
      <c r="J781" s="79" t="s">
        <v>661</v>
      </c>
      <c r="K781" s="166" t="s">
        <v>661</v>
      </c>
      <c r="L781" s="82" t="s">
        <v>661</v>
      </c>
      <c r="M781" s="83" t="s">
        <v>661</v>
      </c>
    </row>
    <row r="782" spans="1:13" ht="13.2">
      <c r="A782" s="498">
        <v>6</v>
      </c>
      <c r="B782" s="615"/>
      <c r="C782" s="615"/>
      <c r="D782" s="616"/>
      <c r="E782" s="534"/>
      <c r="F782" s="567"/>
      <c r="G782" s="620" t="s">
        <v>19</v>
      </c>
      <c r="H782" s="322">
        <f>H783</f>
        <v>120</v>
      </c>
      <c r="I782" s="235" t="s">
        <v>661</v>
      </c>
      <c r="J782" s="79" t="s">
        <v>661</v>
      </c>
      <c r="K782" s="166" t="s">
        <v>661</v>
      </c>
      <c r="L782" s="82" t="s">
        <v>661</v>
      </c>
      <c r="M782" s="83" t="s">
        <v>661</v>
      </c>
    </row>
    <row r="783" spans="1:13" ht="21">
      <c r="A783" s="498">
        <v>6</v>
      </c>
      <c r="B783" s="516"/>
      <c r="C783" s="516" t="s">
        <v>1258</v>
      </c>
      <c r="D783" s="509" t="s">
        <v>1259</v>
      </c>
      <c r="E783" s="628">
        <v>18</v>
      </c>
      <c r="F783" s="571" t="s">
        <v>1260</v>
      </c>
      <c r="G783" s="629" t="s">
        <v>19</v>
      </c>
      <c r="H783" s="207">
        <v>120</v>
      </c>
      <c r="I783" s="235" t="s">
        <v>64</v>
      </c>
      <c r="J783" s="79" t="s">
        <v>1261</v>
      </c>
      <c r="K783" s="164" t="s">
        <v>1262</v>
      </c>
      <c r="L783" s="80">
        <v>25</v>
      </c>
      <c r="M783" s="81" t="s">
        <v>661</v>
      </c>
    </row>
    <row r="784" spans="1:13" ht="13.2">
      <c r="A784" s="498">
        <v>6</v>
      </c>
      <c r="B784" s="231" t="s">
        <v>1263</v>
      </c>
      <c r="C784" s="231" t="s">
        <v>1263</v>
      </c>
      <c r="D784" s="506" t="s">
        <v>1264</v>
      </c>
      <c r="E784" s="507"/>
      <c r="F784" s="507"/>
      <c r="G784" s="523"/>
      <c r="H784" s="523"/>
      <c r="I784" s="235" t="s">
        <v>661</v>
      </c>
      <c r="J784" s="79" t="s">
        <v>661</v>
      </c>
      <c r="K784" s="166" t="s">
        <v>661</v>
      </c>
      <c r="L784" s="82" t="s">
        <v>661</v>
      </c>
      <c r="M784" s="83" t="s">
        <v>661</v>
      </c>
    </row>
    <row r="785" spans="1:13" ht="13.2">
      <c r="A785" s="498">
        <v>6</v>
      </c>
      <c r="B785" s="630"/>
      <c r="C785" s="630"/>
      <c r="D785" s="623"/>
      <c r="E785" s="628"/>
      <c r="F785" s="629"/>
      <c r="G785" s="620" t="s">
        <v>75</v>
      </c>
      <c r="H785" s="322">
        <f>H788</f>
        <v>1493.4</v>
      </c>
      <c r="I785" s="235" t="s">
        <v>661</v>
      </c>
      <c r="J785" s="79" t="s">
        <v>661</v>
      </c>
      <c r="K785" s="166" t="s">
        <v>661</v>
      </c>
      <c r="L785" s="82" t="s">
        <v>661</v>
      </c>
      <c r="M785" s="83" t="s">
        <v>661</v>
      </c>
    </row>
    <row r="786" spans="1:13" ht="13.2">
      <c r="A786" s="498">
        <v>6</v>
      </c>
      <c r="B786" s="630"/>
      <c r="C786" s="630"/>
      <c r="D786" s="623"/>
      <c r="E786" s="628"/>
      <c r="F786" s="629"/>
      <c r="G786" s="620" t="s">
        <v>19</v>
      </c>
      <c r="H786" s="322">
        <f>H787+H789+H790</f>
        <v>732.09999999999991</v>
      </c>
      <c r="I786" s="235" t="s">
        <v>661</v>
      </c>
      <c r="J786" s="79" t="s">
        <v>661</v>
      </c>
      <c r="K786" s="166" t="s">
        <v>661</v>
      </c>
      <c r="L786" s="82" t="s">
        <v>661</v>
      </c>
      <c r="M786" s="83" t="s">
        <v>661</v>
      </c>
    </row>
    <row r="787" spans="1:13" ht="25.5" customHeight="1">
      <c r="A787" s="498">
        <v>6</v>
      </c>
      <c r="B787" s="516"/>
      <c r="C787" s="516" t="s">
        <v>1265</v>
      </c>
      <c r="D787" s="631" t="s">
        <v>1266</v>
      </c>
      <c r="E787" s="626">
        <v>9</v>
      </c>
      <c r="F787" s="627" t="s">
        <v>1267</v>
      </c>
      <c r="G787" s="629" t="s">
        <v>19</v>
      </c>
      <c r="H787" s="514">
        <f>2500-500-1493.4</f>
        <v>506.59999999999991</v>
      </c>
      <c r="I787" s="235" t="s">
        <v>49</v>
      </c>
      <c r="J787" s="79" t="s">
        <v>1268</v>
      </c>
      <c r="K787" s="166" t="s">
        <v>1269</v>
      </c>
      <c r="L787" s="80">
        <v>100</v>
      </c>
      <c r="M787" s="81" t="s">
        <v>661</v>
      </c>
    </row>
    <row r="788" spans="1:13" ht="13.2">
      <c r="A788" s="498">
        <v>6</v>
      </c>
      <c r="B788" s="516"/>
      <c r="C788" s="516"/>
      <c r="D788" s="631"/>
      <c r="E788" s="626">
        <v>9</v>
      </c>
      <c r="F788" s="627" t="s">
        <v>1267</v>
      </c>
      <c r="G788" s="571" t="s">
        <v>75</v>
      </c>
      <c r="H788" s="514">
        <v>1493.4</v>
      </c>
      <c r="I788" s="235" t="s">
        <v>49</v>
      </c>
      <c r="J788" s="79" t="s">
        <v>661</v>
      </c>
      <c r="K788" s="166" t="s">
        <v>661</v>
      </c>
      <c r="L788" s="80" t="s">
        <v>661</v>
      </c>
      <c r="M788" s="81" t="s">
        <v>661</v>
      </c>
    </row>
    <row r="789" spans="1:13" ht="14.25" customHeight="1">
      <c r="A789" s="498">
        <v>6</v>
      </c>
      <c r="B789" s="516"/>
      <c r="C789" s="516" t="s">
        <v>1270</v>
      </c>
      <c r="D789" s="631" t="s">
        <v>1271</v>
      </c>
      <c r="E789" s="626">
        <v>9</v>
      </c>
      <c r="F789" s="627" t="s">
        <v>1272</v>
      </c>
      <c r="G789" s="629" t="s">
        <v>19</v>
      </c>
      <c r="H789" s="514">
        <f>200+21.3</f>
        <v>221.3</v>
      </c>
      <c r="I789" s="235" t="s">
        <v>64</v>
      </c>
      <c r="J789" s="79" t="s">
        <v>217</v>
      </c>
      <c r="K789" s="166" t="s">
        <v>1273</v>
      </c>
      <c r="L789" s="98">
        <v>5</v>
      </c>
      <c r="M789" s="115" t="s">
        <v>661</v>
      </c>
    </row>
    <row r="790" spans="1:13" ht="20.399999999999999">
      <c r="A790" s="498">
        <v>6</v>
      </c>
      <c r="B790" s="516"/>
      <c r="C790" s="516" t="s">
        <v>1274</v>
      </c>
      <c r="D790" s="631" t="s">
        <v>1275</v>
      </c>
      <c r="E790" s="626">
        <v>9</v>
      </c>
      <c r="F790" s="625" t="s">
        <v>1276</v>
      </c>
      <c r="G790" s="629" t="s">
        <v>19</v>
      </c>
      <c r="H790" s="219">
        <f>4.2</f>
        <v>4.2</v>
      </c>
      <c r="I790" s="235" t="s">
        <v>661</v>
      </c>
      <c r="J790" s="79" t="s">
        <v>661</v>
      </c>
      <c r="K790" s="166" t="s">
        <v>661</v>
      </c>
      <c r="L790" s="80" t="s">
        <v>661</v>
      </c>
      <c r="M790" s="81" t="s">
        <v>661</v>
      </c>
    </row>
    <row r="791" spans="1:13" ht="13.2">
      <c r="A791" s="498">
        <v>6</v>
      </c>
      <c r="B791" s="231" t="s">
        <v>1278</v>
      </c>
      <c r="C791" s="231" t="s">
        <v>1278</v>
      </c>
      <c r="D791" s="506" t="s">
        <v>1279</v>
      </c>
      <c r="E791" s="507"/>
      <c r="F791" s="507"/>
      <c r="G791" s="523"/>
      <c r="H791" s="523"/>
      <c r="I791" s="235" t="s">
        <v>661</v>
      </c>
      <c r="J791" s="79" t="s">
        <v>661</v>
      </c>
      <c r="K791" s="166" t="s">
        <v>661</v>
      </c>
      <c r="L791" s="82" t="s">
        <v>661</v>
      </c>
      <c r="M791" s="84" t="s">
        <v>661</v>
      </c>
    </row>
    <row r="792" spans="1:13" ht="13.2">
      <c r="A792" s="498">
        <v>6</v>
      </c>
      <c r="B792" s="633"/>
      <c r="C792" s="633"/>
      <c r="D792" s="634"/>
      <c r="E792" s="635"/>
      <c r="F792" s="636"/>
      <c r="G792" s="637" t="s">
        <v>19</v>
      </c>
      <c r="H792" s="638">
        <f>SUM(H796,H799,H802,H804,H797,H808)</f>
        <v>678</v>
      </c>
      <c r="I792" s="235" t="s">
        <v>661</v>
      </c>
      <c r="J792" s="79" t="s">
        <v>661</v>
      </c>
      <c r="K792" s="166" t="s">
        <v>661</v>
      </c>
      <c r="L792" s="82" t="s">
        <v>661</v>
      </c>
      <c r="M792" s="116" t="s">
        <v>661</v>
      </c>
    </row>
    <row r="793" spans="1:13" ht="13.2">
      <c r="A793" s="498">
        <v>6</v>
      </c>
      <c r="B793" s="633"/>
      <c r="C793" s="633"/>
      <c r="D793" s="634"/>
      <c r="E793" s="635"/>
      <c r="F793" s="636"/>
      <c r="G793" s="639" t="s">
        <v>56</v>
      </c>
      <c r="H793" s="638">
        <f>SUM(H800)</f>
        <v>959.8</v>
      </c>
      <c r="I793" s="235" t="s">
        <v>661</v>
      </c>
      <c r="J793" s="79" t="s">
        <v>661</v>
      </c>
      <c r="K793" s="166" t="s">
        <v>661</v>
      </c>
      <c r="L793" s="82" t="s">
        <v>661</v>
      </c>
      <c r="M793" s="116" t="s">
        <v>661</v>
      </c>
    </row>
    <row r="794" spans="1:13" ht="13.2">
      <c r="A794" s="498">
        <v>6</v>
      </c>
      <c r="B794" s="633"/>
      <c r="C794" s="633"/>
      <c r="D794" s="634"/>
      <c r="E794" s="635"/>
      <c r="F794" s="636"/>
      <c r="G794" s="639" t="s">
        <v>259</v>
      </c>
      <c r="H794" s="638">
        <f>SUM(H806)</f>
        <v>0</v>
      </c>
      <c r="I794" s="235" t="s">
        <v>661</v>
      </c>
      <c r="J794" s="79" t="s">
        <v>661</v>
      </c>
      <c r="K794" s="166" t="s">
        <v>661</v>
      </c>
      <c r="L794" s="82" t="s">
        <v>661</v>
      </c>
      <c r="M794" s="116" t="s">
        <v>661</v>
      </c>
    </row>
    <row r="795" spans="1:13" ht="13.2">
      <c r="A795" s="498">
        <v>6</v>
      </c>
      <c r="B795" s="633"/>
      <c r="C795" s="633"/>
      <c r="D795" s="634"/>
      <c r="E795" s="635"/>
      <c r="F795" s="636"/>
      <c r="G795" s="640" t="s">
        <v>257</v>
      </c>
      <c r="H795" s="523">
        <f>SUM(H798,H801,H803,H805,H807,H809)</f>
        <v>1637.8</v>
      </c>
      <c r="I795" s="235" t="s">
        <v>661</v>
      </c>
      <c r="J795" s="79" t="s">
        <v>661</v>
      </c>
      <c r="K795" s="166" t="s">
        <v>661</v>
      </c>
      <c r="L795" s="82" t="s">
        <v>661</v>
      </c>
      <c r="M795" s="116" t="s">
        <v>661</v>
      </c>
    </row>
    <row r="796" spans="1:13" ht="44.4" customHeight="1">
      <c r="A796" s="498">
        <v>6</v>
      </c>
      <c r="B796" s="516"/>
      <c r="C796" s="516" t="s">
        <v>1280</v>
      </c>
      <c r="D796" s="641" t="s">
        <v>1281</v>
      </c>
      <c r="E796" s="498">
        <v>9</v>
      </c>
      <c r="F796" s="528" t="s">
        <v>1282</v>
      </c>
      <c r="G796" s="526" t="s">
        <v>19</v>
      </c>
      <c r="H796" s="565">
        <f>100-50+38</f>
        <v>88</v>
      </c>
      <c r="I796" s="235" t="s">
        <v>198</v>
      </c>
      <c r="J796" s="76" t="s">
        <v>1283</v>
      </c>
      <c r="K796" s="164" t="s">
        <v>1284</v>
      </c>
      <c r="L796" s="80">
        <v>100</v>
      </c>
      <c r="M796" s="117" t="s">
        <v>1191</v>
      </c>
    </row>
    <row r="797" spans="1:13" ht="21">
      <c r="A797" s="498">
        <v>6</v>
      </c>
      <c r="B797" s="516"/>
      <c r="C797" s="516"/>
      <c r="D797" s="641"/>
      <c r="E797" s="498">
        <v>23</v>
      </c>
      <c r="F797" s="528" t="s">
        <v>1285</v>
      </c>
      <c r="G797" s="281" t="s">
        <v>19</v>
      </c>
      <c r="H797" s="565"/>
      <c r="I797" s="235" t="s">
        <v>198</v>
      </c>
      <c r="J797" s="76" t="s">
        <v>498</v>
      </c>
      <c r="K797" s="164" t="s">
        <v>1286</v>
      </c>
      <c r="L797" s="80">
        <v>1</v>
      </c>
      <c r="M797" s="81" t="s">
        <v>1191</v>
      </c>
    </row>
    <row r="798" spans="1:13" ht="13.2">
      <c r="A798" s="498">
        <v>6</v>
      </c>
      <c r="B798" s="516"/>
      <c r="C798" s="516"/>
      <c r="D798" s="509"/>
      <c r="E798" s="513"/>
      <c r="F798" s="567"/>
      <c r="G798" s="515" t="s">
        <v>257</v>
      </c>
      <c r="H798" s="220">
        <f>SUM(H796,H797)</f>
        <v>88</v>
      </c>
      <c r="I798" s="235" t="s">
        <v>661</v>
      </c>
      <c r="J798" s="76" t="s">
        <v>661</v>
      </c>
      <c r="K798" s="164" t="s">
        <v>661</v>
      </c>
      <c r="L798" s="82" t="s">
        <v>661</v>
      </c>
      <c r="M798" s="84" t="s">
        <v>661</v>
      </c>
    </row>
    <row r="799" spans="1:13" ht="38.25" customHeight="1">
      <c r="A799" s="498">
        <v>6</v>
      </c>
      <c r="B799" s="516"/>
      <c r="C799" s="508" t="s">
        <v>1287</v>
      </c>
      <c r="D799" s="1006" t="s">
        <v>1288</v>
      </c>
      <c r="E799" s="498" t="s">
        <v>1289</v>
      </c>
      <c r="F799" s="491" t="s">
        <v>1290</v>
      </c>
      <c r="G799" s="492" t="s">
        <v>19</v>
      </c>
      <c r="H799" s="514">
        <f>310+70</f>
        <v>380</v>
      </c>
      <c r="I799" s="235" t="s">
        <v>198</v>
      </c>
      <c r="J799" s="76" t="s">
        <v>1291</v>
      </c>
      <c r="K799" s="164" t="s">
        <v>1292</v>
      </c>
      <c r="L799" s="82">
        <v>1.4550000000000001</v>
      </c>
      <c r="M799" s="117" t="s">
        <v>1191</v>
      </c>
    </row>
    <row r="800" spans="1:13" ht="31.2">
      <c r="A800" s="498">
        <v>6</v>
      </c>
      <c r="B800" s="516"/>
      <c r="C800" s="508" t="s">
        <v>1287</v>
      </c>
      <c r="D800" s="1007"/>
      <c r="E800" s="498" t="s">
        <v>1289</v>
      </c>
      <c r="F800" s="491" t="s">
        <v>1290</v>
      </c>
      <c r="G800" s="491" t="s">
        <v>56</v>
      </c>
      <c r="H800" s="514">
        <v>959.8</v>
      </c>
      <c r="I800" s="235" t="s">
        <v>198</v>
      </c>
      <c r="J800" s="76" t="s">
        <v>1291</v>
      </c>
      <c r="K800" s="164" t="s">
        <v>1293</v>
      </c>
      <c r="L800" s="82">
        <v>0.6</v>
      </c>
      <c r="M800" s="81" t="s">
        <v>1191</v>
      </c>
    </row>
    <row r="801" spans="1:13" ht="13.2">
      <c r="A801" s="498">
        <v>6</v>
      </c>
      <c r="B801" s="516"/>
      <c r="C801" s="508"/>
      <c r="D801" s="509"/>
      <c r="E801" s="513"/>
      <c r="F801" s="567"/>
      <c r="G801" s="515" t="s">
        <v>257</v>
      </c>
      <c r="H801" s="220">
        <f>SUM(H799:H800)</f>
        <v>1339.8</v>
      </c>
      <c r="I801" s="235" t="s">
        <v>661</v>
      </c>
      <c r="J801" s="76"/>
      <c r="K801" s="164"/>
      <c r="L801" s="82"/>
      <c r="M801" s="116" t="s">
        <v>661</v>
      </c>
    </row>
    <row r="802" spans="1:13" ht="31.2">
      <c r="A802" s="498">
        <v>6</v>
      </c>
      <c r="B802" s="508"/>
      <c r="C802" s="508" t="s">
        <v>1294</v>
      </c>
      <c r="D802" s="509" t="s">
        <v>1295</v>
      </c>
      <c r="E802" s="498">
        <v>9</v>
      </c>
      <c r="F802" s="491" t="s">
        <v>1296</v>
      </c>
      <c r="G802" s="491" t="s">
        <v>19</v>
      </c>
      <c r="H802" s="514">
        <v>60</v>
      </c>
      <c r="I802" s="235" t="s">
        <v>64</v>
      </c>
      <c r="J802" s="76" t="s">
        <v>226</v>
      </c>
      <c r="K802" s="164" t="s">
        <v>1297</v>
      </c>
      <c r="L802" s="82">
        <v>1</v>
      </c>
      <c r="M802" s="116" t="s">
        <v>661</v>
      </c>
    </row>
    <row r="803" spans="1:13" ht="13.2">
      <c r="A803" s="498">
        <v>6</v>
      </c>
      <c r="B803" s="508"/>
      <c r="C803" s="508"/>
      <c r="D803" s="509"/>
      <c r="E803" s="513"/>
      <c r="F803" s="491"/>
      <c r="G803" s="515" t="s">
        <v>257</v>
      </c>
      <c r="H803" s="220">
        <f>SUM(H802)</f>
        <v>60</v>
      </c>
      <c r="I803" s="235" t="s">
        <v>661</v>
      </c>
      <c r="J803" s="76" t="s">
        <v>661</v>
      </c>
      <c r="K803" s="164" t="s">
        <v>661</v>
      </c>
      <c r="L803" s="82" t="s">
        <v>661</v>
      </c>
      <c r="M803" s="116" t="s">
        <v>661</v>
      </c>
    </row>
    <row r="804" spans="1:13" ht="81.75" customHeight="1">
      <c r="A804" s="498">
        <v>6</v>
      </c>
      <c r="B804" s="508"/>
      <c r="C804" s="508" t="s">
        <v>1298</v>
      </c>
      <c r="D804" s="509" t="s">
        <v>1299</v>
      </c>
      <c r="E804" s="498">
        <v>9</v>
      </c>
      <c r="F804" s="491" t="s">
        <v>1300</v>
      </c>
      <c r="G804" s="491" t="s">
        <v>19</v>
      </c>
      <c r="H804" s="529">
        <f>200-100</f>
        <v>100</v>
      </c>
      <c r="I804" s="235" t="s">
        <v>64</v>
      </c>
      <c r="J804" s="76" t="s">
        <v>964</v>
      </c>
      <c r="K804" s="164" t="s">
        <v>1301</v>
      </c>
      <c r="L804" s="82">
        <v>1</v>
      </c>
      <c r="M804" s="116" t="s">
        <v>661</v>
      </c>
    </row>
    <row r="805" spans="1:13" ht="13.2">
      <c r="A805" s="498">
        <v>6</v>
      </c>
      <c r="B805" s="508"/>
      <c r="C805" s="508"/>
      <c r="D805" s="509"/>
      <c r="E805" s="513"/>
      <c r="F805" s="567"/>
      <c r="G805" s="515" t="s">
        <v>257</v>
      </c>
      <c r="H805" s="220">
        <f t="shared" ref="H805:H807" si="0">SUM(H804)</f>
        <v>100</v>
      </c>
      <c r="I805" s="235" t="s">
        <v>661</v>
      </c>
      <c r="J805" s="76" t="s">
        <v>661</v>
      </c>
      <c r="K805" s="164" t="s">
        <v>661</v>
      </c>
      <c r="L805" s="82" t="s">
        <v>661</v>
      </c>
      <c r="M805" s="116" t="s">
        <v>661</v>
      </c>
    </row>
    <row r="806" spans="1:13" ht="38.25" customHeight="1">
      <c r="A806" s="498">
        <v>6</v>
      </c>
      <c r="B806" s="508"/>
      <c r="C806" s="508" t="s">
        <v>1302</v>
      </c>
      <c r="D806" s="509" t="s">
        <v>1303</v>
      </c>
      <c r="E806" s="513">
        <v>9</v>
      </c>
      <c r="F806" s="567" t="s">
        <v>1304</v>
      </c>
      <c r="G806" s="492" t="s">
        <v>259</v>
      </c>
      <c r="H806" s="514"/>
      <c r="I806" s="235" t="s">
        <v>58</v>
      </c>
      <c r="J806" s="79"/>
      <c r="K806" s="166"/>
      <c r="L806" s="82"/>
      <c r="M806" s="116" t="s">
        <v>228</v>
      </c>
    </row>
    <row r="807" spans="1:13" ht="13.2">
      <c r="A807" s="498">
        <v>6</v>
      </c>
      <c r="B807" s="508"/>
      <c r="C807" s="508"/>
      <c r="D807" s="509"/>
      <c r="E807" s="513"/>
      <c r="F807" s="567"/>
      <c r="G807" s="515" t="s">
        <v>257</v>
      </c>
      <c r="H807" s="279">
        <f t="shared" si="0"/>
        <v>0</v>
      </c>
      <c r="I807" s="235" t="s">
        <v>661</v>
      </c>
      <c r="J807" s="79" t="s">
        <v>661</v>
      </c>
      <c r="K807" s="166" t="s">
        <v>661</v>
      </c>
      <c r="L807" s="82" t="s">
        <v>661</v>
      </c>
      <c r="M807" s="116" t="s">
        <v>661</v>
      </c>
    </row>
    <row r="808" spans="1:13" ht="38.25" customHeight="1">
      <c r="A808" s="498">
        <v>6</v>
      </c>
      <c r="B808" s="508"/>
      <c r="C808" s="508" t="s">
        <v>1305</v>
      </c>
      <c r="D808" s="642" t="s">
        <v>1306</v>
      </c>
      <c r="E808" s="513">
        <v>9</v>
      </c>
      <c r="F808" s="567" t="s">
        <v>1307</v>
      </c>
      <c r="G808" s="549" t="s">
        <v>19</v>
      </c>
      <c r="H808" s="529">
        <v>50</v>
      </c>
      <c r="I808" s="235" t="s">
        <v>661</v>
      </c>
      <c r="J808" s="79" t="s">
        <v>226</v>
      </c>
      <c r="K808" s="166" t="s">
        <v>1308</v>
      </c>
      <c r="L808" s="82">
        <v>1</v>
      </c>
      <c r="M808" s="116" t="s">
        <v>661</v>
      </c>
    </row>
    <row r="809" spans="1:13" ht="13.2">
      <c r="A809" s="498">
        <v>6</v>
      </c>
      <c r="B809" s="508"/>
      <c r="C809" s="508"/>
      <c r="D809" s="509"/>
      <c r="E809" s="513"/>
      <c r="F809" s="567"/>
      <c r="G809" s="643" t="s">
        <v>257</v>
      </c>
      <c r="H809" s="279">
        <f>SUM(H808)</f>
        <v>50</v>
      </c>
      <c r="I809" s="235" t="s">
        <v>661</v>
      </c>
      <c r="J809" s="79" t="s">
        <v>661</v>
      </c>
      <c r="K809" s="166" t="s">
        <v>661</v>
      </c>
      <c r="L809" s="82" t="s">
        <v>661</v>
      </c>
      <c r="M809" s="116" t="s">
        <v>661</v>
      </c>
    </row>
    <row r="810" spans="1:13" ht="31.2">
      <c r="A810" s="498">
        <v>6</v>
      </c>
      <c r="B810" s="499"/>
      <c r="C810" s="499"/>
      <c r="D810" s="644" t="s">
        <v>1309</v>
      </c>
      <c r="E810" s="519"/>
      <c r="F810" s="520"/>
      <c r="G810" s="645"/>
      <c r="H810" s="646"/>
      <c r="I810" s="505" t="s">
        <v>661</v>
      </c>
      <c r="J810" s="86" t="s">
        <v>661</v>
      </c>
      <c r="K810" s="167" t="s">
        <v>661</v>
      </c>
      <c r="L810" s="87" t="s">
        <v>661</v>
      </c>
      <c r="M810" s="118" t="s">
        <v>661</v>
      </c>
    </row>
    <row r="811" spans="1:13" ht="20.399999999999999">
      <c r="A811" s="498">
        <v>6</v>
      </c>
      <c r="B811" s="231" t="s">
        <v>1310</v>
      </c>
      <c r="C811" s="231" t="s">
        <v>1310</v>
      </c>
      <c r="D811" s="506" t="s">
        <v>1311</v>
      </c>
      <c r="E811" s="507"/>
      <c r="F811" s="507"/>
      <c r="G811" s="523"/>
      <c r="H811" s="523"/>
      <c r="I811" s="613" t="s">
        <v>661</v>
      </c>
      <c r="J811" s="79" t="s">
        <v>661</v>
      </c>
      <c r="K811" s="166" t="s">
        <v>661</v>
      </c>
      <c r="L811" s="80" t="s">
        <v>661</v>
      </c>
      <c r="M811" s="119" t="s">
        <v>661</v>
      </c>
    </row>
    <row r="812" spans="1:13" ht="13.2">
      <c r="A812" s="498">
        <v>6</v>
      </c>
      <c r="B812" s="647"/>
      <c r="C812" s="647"/>
      <c r="D812" s="648"/>
      <c r="E812" s="263"/>
      <c r="F812" s="649"/>
      <c r="G812" s="650" t="s">
        <v>19</v>
      </c>
      <c r="H812" s="640">
        <f>H829+H831+H832+H834+H835+H836+H823+H838+H827+H839</f>
        <v>1614.4</v>
      </c>
      <c r="I812" s="613" t="s">
        <v>661</v>
      </c>
      <c r="J812" s="79" t="s">
        <v>661</v>
      </c>
      <c r="K812" s="165" t="s">
        <v>661</v>
      </c>
      <c r="L812" s="80" t="s">
        <v>661</v>
      </c>
      <c r="M812" s="120" t="s">
        <v>661</v>
      </c>
    </row>
    <row r="813" spans="1:13" ht="13.2">
      <c r="A813" s="498">
        <v>6</v>
      </c>
      <c r="B813" s="651"/>
      <c r="C813" s="651"/>
      <c r="D813" s="648"/>
      <c r="E813" s="263"/>
      <c r="F813" s="649"/>
      <c r="G813" s="652" t="s">
        <v>1312</v>
      </c>
      <c r="H813" s="640">
        <f>H818</f>
        <v>0</v>
      </c>
      <c r="I813" s="613" t="s">
        <v>661</v>
      </c>
      <c r="J813" s="79" t="s">
        <v>661</v>
      </c>
      <c r="K813" s="166" t="s">
        <v>661</v>
      </c>
      <c r="L813" s="80" t="s">
        <v>661</v>
      </c>
      <c r="M813" s="120" t="s">
        <v>661</v>
      </c>
    </row>
    <row r="814" spans="1:13" ht="13.2">
      <c r="A814" s="498">
        <v>6</v>
      </c>
      <c r="B814" s="651"/>
      <c r="C814" s="651"/>
      <c r="D814" s="648"/>
      <c r="E814" s="263"/>
      <c r="F814" s="649"/>
      <c r="G814" s="652" t="s">
        <v>606</v>
      </c>
      <c r="H814" s="640">
        <f t="shared" ref="H814:H815" si="1">H821</f>
        <v>0</v>
      </c>
      <c r="I814" s="613" t="s">
        <v>661</v>
      </c>
      <c r="J814" s="79" t="s">
        <v>661</v>
      </c>
      <c r="K814" s="166" t="s">
        <v>661</v>
      </c>
      <c r="L814" s="80" t="s">
        <v>661</v>
      </c>
      <c r="M814" s="120" t="s">
        <v>661</v>
      </c>
    </row>
    <row r="815" spans="1:13" ht="13.2">
      <c r="A815" s="498">
        <v>6</v>
      </c>
      <c r="B815" s="651"/>
      <c r="C815" s="651"/>
      <c r="D815" s="648"/>
      <c r="E815" s="263"/>
      <c r="F815" s="649"/>
      <c r="G815" s="652" t="s">
        <v>22</v>
      </c>
      <c r="H815" s="640">
        <f t="shared" si="1"/>
        <v>100</v>
      </c>
      <c r="I815" s="613" t="s">
        <v>661</v>
      </c>
      <c r="J815" s="79" t="s">
        <v>661</v>
      </c>
      <c r="K815" s="166" t="s">
        <v>661</v>
      </c>
      <c r="L815" s="80" t="s">
        <v>661</v>
      </c>
      <c r="M815" s="120" t="s">
        <v>661</v>
      </c>
    </row>
    <row r="816" spans="1:13" ht="13.2">
      <c r="A816" s="498">
        <v>6</v>
      </c>
      <c r="B816" s="651"/>
      <c r="C816" s="651"/>
      <c r="D816" s="648"/>
      <c r="E816" s="263"/>
      <c r="F816" s="649"/>
      <c r="G816" s="650" t="s">
        <v>259</v>
      </c>
      <c r="H816" s="640">
        <f>H819+H820+H828+H830+H833+H837+H824</f>
        <v>1549</v>
      </c>
      <c r="I816" s="613" t="s">
        <v>661</v>
      </c>
      <c r="J816" s="79" t="s">
        <v>661</v>
      </c>
      <c r="K816" s="166" t="s">
        <v>661</v>
      </c>
      <c r="L816" s="80" t="s">
        <v>661</v>
      </c>
      <c r="M816" s="120" t="s">
        <v>661</v>
      </c>
    </row>
    <row r="817" spans="1:13" ht="13.2">
      <c r="A817" s="498">
        <v>6</v>
      </c>
      <c r="B817" s="651"/>
      <c r="C817" s="651"/>
      <c r="D817" s="648"/>
      <c r="E817" s="263"/>
      <c r="F817" s="649"/>
      <c r="G817" s="640" t="s">
        <v>257</v>
      </c>
      <c r="H817" s="640">
        <f>SUM(H812:H816)</f>
        <v>3263.4</v>
      </c>
      <c r="I817" s="613" t="s">
        <v>661</v>
      </c>
      <c r="J817" s="79" t="s">
        <v>661</v>
      </c>
      <c r="K817" s="166" t="s">
        <v>661</v>
      </c>
      <c r="L817" s="80" t="s">
        <v>661</v>
      </c>
      <c r="M817" s="120" t="s">
        <v>661</v>
      </c>
    </row>
    <row r="818" spans="1:13" ht="21" customHeight="1">
      <c r="A818" s="498">
        <v>6</v>
      </c>
      <c r="B818" s="653"/>
      <c r="C818" s="653" t="s">
        <v>1313</v>
      </c>
      <c r="D818" s="999" t="s">
        <v>1314</v>
      </c>
      <c r="E818" s="273" t="s">
        <v>1315</v>
      </c>
      <c r="F818" s="263" t="s">
        <v>1316</v>
      </c>
      <c r="G818" s="654" t="s">
        <v>1312</v>
      </c>
      <c r="H818" s="655">
        <v>0</v>
      </c>
      <c r="I818" s="235" t="s">
        <v>661</v>
      </c>
      <c r="J818" s="76" t="s">
        <v>1317</v>
      </c>
      <c r="K818" s="164" t="s">
        <v>1021</v>
      </c>
      <c r="L818" s="102">
        <v>70</v>
      </c>
      <c r="M818" s="97" t="s">
        <v>185</v>
      </c>
    </row>
    <row r="819" spans="1:13" ht="20.399999999999999" customHeight="1">
      <c r="A819" s="498">
        <v>6</v>
      </c>
      <c r="B819" s="653"/>
      <c r="C819" s="653" t="s">
        <v>1313</v>
      </c>
      <c r="D819" s="1000"/>
      <c r="E819" s="273" t="s">
        <v>1315</v>
      </c>
      <c r="F819" s="263" t="s">
        <v>1316</v>
      </c>
      <c r="G819" s="654" t="s">
        <v>259</v>
      </c>
      <c r="H819" s="655">
        <v>350</v>
      </c>
      <c r="I819" s="235" t="s">
        <v>661</v>
      </c>
      <c r="J819" s="76" t="s">
        <v>661</v>
      </c>
      <c r="K819" s="164" t="s">
        <v>661</v>
      </c>
      <c r="L819" s="102" t="s">
        <v>661</v>
      </c>
      <c r="M819" s="97" t="s">
        <v>185</v>
      </c>
    </row>
    <row r="820" spans="1:13" ht="13.2">
      <c r="A820" s="498">
        <v>6</v>
      </c>
      <c r="B820" s="653"/>
      <c r="C820" s="653" t="s">
        <v>1318</v>
      </c>
      <c r="D820" s="999" t="s">
        <v>1319</v>
      </c>
      <c r="E820" s="656" t="s">
        <v>1315</v>
      </c>
      <c r="F820" s="263" t="s">
        <v>1316</v>
      </c>
      <c r="G820" s="657" t="s">
        <v>259</v>
      </c>
      <c r="H820" s="655">
        <v>648</v>
      </c>
      <c r="I820" s="235" t="s">
        <v>661</v>
      </c>
      <c r="J820" s="103" t="s">
        <v>1317</v>
      </c>
      <c r="K820" s="164" t="s">
        <v>1021</v>
      </c>
      <c r="L820" s="102">
        <v>70</v>
      </c>
      <c r="M820" s="97" t="s">
        <v>1320</v>
      </c>
    </row>
    <row r="821" spans="1:13" ht="13.2">
      <c r="A821" s="498">
        <v>6</v>
      </c>
      <c r="B821" s="653"/>
      <c r="C821" s="653" t="s">
        <v>1318</v>
      </c>
      <c r="D821" s="990"/>
      <c r="E821" s="658">
        <v>9</v>
      </c>
      <c r="F821" s="263" t="s">
        <v>1316</v>
      </c>
      <c r="G821" s="657" t="s">
        <v>606</v>
      </c>
      <c r="H821" s="655">
        <v>0</v>
      </c>
      <c r="I821" s="235" t="s">
        <v>198</v>
      </c>
      <c r="J821" s="103"/>
      <c r="K821" s="170"/>
      <c r="L821" s="102"/>
      <c r="M821" s="97" t="s">
        <v>1320</v>
      </c>
    </row>
    <row r="822" spans="1:13" ht="13.2">
      <c r="A822" s="498">
        <v>6</v>
      </c>
      <c r="B822" s="659"/>
      <c r="C822" s="653" t="s">
        <v>1318</v>
      </c>
      <c r="D822" s="990"/>
      <c r="E822" s="658">
        <v>9</v>
      </c>
      <c r="F822" s="263" t="s">
        <v>1316</v>
      </c>
      <c r="G822" s="584" t="s">
        <v>22</v>
      </c>
      <c r="H822" s="655">
        <v>100</v>
      </c>
      <c r="I822" s="235" t="s">
        <v>198</v>
      </c>
      <c r="J822" s="103" t="s">
        <v>1321</v>
      </c>
      <c r="K822" s="170" t="s">
        <v>1322</v>
      </c>
      <c r="L822" s="102">
        <v>100</v>
      </c>
      <c r="M822" s="97" t="s">
        <v>1320</v>
      </c>
    </row>
    <row r="823" spans="1:13" ht="13.2">
      <c r="A823" s="498">
        <v>6</v>
      </c>
      <c r="B823" s="659"/>
      <c r="C823" s="653" t="s">
        <v>1318</v>
      </c>
      <c r="D823" s="1000"/>
      <c r="E823" s="660">
        <v>9</v>
      </c>
      <c r="F823" s="263" t="s">
        <v>1316</v>
      </c>
      <c r="G823" s="657" t="s">
        <v>19</v>
      </c>
      <c r="H823" s="655"/>
      <c r="I823" s="235" t="s">
        <v>198</v>
      </c>
      <c r="J823" s="103" t="s">
        <v>1321</v>
      </c>
      <c r="K823" s="170" t="s">
        <v>1322</v>
      </c>
      <c r="L823" s="102">
        <v>100</v>
      </c>
      <c r="M823" s="97" t="s">
        <v>1320</v>
      </c>
    </row>
    <row r="824" spans="1:13" ht="13.2">
      <c r="A824" s="498">
        <v>6</v>
      </c>
      <c r="B824" s="659"/>
      <c r="C824" s="659" t="s">
        <v>1323</v>
      </c>
      <c r="D824" s="999" t="s">
        <v>1324</v>
      </c>
      <c r="E824" s="656" t="s">
        <v>1315</v>
      </c>
      <c r="F824" s="273" t="s">
        <v>1316</v>
      </c>
      <c r="G824" s="654" t="s">
        <v>259</v>
      </c>
      <c r="H824" s="661">
        <v>501</v>
      </c>
      <c r="I824" s="235" t="s">
        <v>661</v>
      </c>
      <c r="J824" s="103" t="s">
        <v>1317</v>
      </c>
      <c r="K824" s="164" t="s">
        <v>1021</v>
      </c>
      <c r="L824" s="102">
        <v>100</v>
      </c>
      <c r="M824" s="97" t="s">
        <v>1320</v>
      </c>
    </row>
    <row r="825" spans="1:13" ht="13.2">
      <c r="A825" s="498">
        <v>6</v>
      </c>
      <c r="B825" s="659"/>
      <c r="C825" s="659" t="s">
        <v>1323</v>
      </c>
      <c r="D825" s="990"/>
      <c r="E825" s="656">
        <v>9</v>
      </c>
      <c r="F825" s="273" t="s">
        <v>1316</v>
      </c>
      <c r="G825" s="654" t="s">
        <v>606</v>
      </c>
      <c r="H825" s="661"/>
      <c r="I825" s="235" t="s">
        <v>661</v>
      </c>
      <c r="J825" s="103" t="s">
        <v>1321</v>
      </c>
      <c r="K825" s="170" t="s">
        <v>1322</v>
      </c>
      <c r="L825" s="102">
        <v>100</v>
      </c>
      <c r="M825" s="97" t="s">
        <v>1320</v>
      </c>
    </row>
    <row r="826" spans="1:13" ht="13.2">
      <c r="A826" s="498">
        <v>6</v>
      </c>
      <c r="B826" s="659"/>
      <c r="C826" s="659" t="s">
        <v>1323</v>
      </c>
      <c r="D826" s="990"/>
      <c r="E826" s="656">
        <v>9</v>
      </c>
      <c r="F826" s="273" t="s">
        <v>1316</v>
      </c>
      <c r="G826" s="654" t="s">
        <v>22</v>
      </c>
      <c r="H826" s="661"/>
      <c r="I826" s="235" t="s">
        <v>661</v>
      </c>
      <c r="J826" s="103" t="s">
        <v>1321</v>
      </c>
      <c r="K826" s="170" t="s">
        <v>1322</v>
      </c>
      <c r="L826" s="102">
        <v>100</v>
      </c>
      <c r="M826" s="97" t="s">
        <v>1320</v>
      </c>
    </row>
    <row r="827" spans="1:13" ht="13.2">
      <c r="A827" s="498">
        <v>6</v>
      </c>
      <c r="B827" s="659"/>
      <c r="C827" s="659" t="s">
        <v>1323</v>
      </c>
      <c r="D827" s="1000"/>
      <c r="E827" s="662">
        <v>9</v>
      </c>
      <c r="F827" s="273" t="s">
        <v>1316</v>
      </c>
      <c r="G827" s="654" t="s">
        <v>19</v>
      </c>
      <c r="H827" s="661"/>
      <c r="I827" s="235" t="s">
        <v>198</v>
      </c>
      <c r="J827" s="103" t="s">
        <v>1321</v>
      </c>
      <c r="K827" s="170" t="s">
        <v>1322</v>
      </c>
      <c r="L827" s="102">
        <v>100</v>
      </c>
      <c r="M827" s="97" t="s">
        <v>1320</v>
      </c>
    </row>
    <row r="828" spans="1:13" ht="15.6" customHeight="1">
      <c r="A828" s="498">
        <v>6</v>
      </c>
      <c r="B828" s="659"/>
      <c r="C828" s="659" t="s">
        <v>1325</v>
      </c>
      <c r="D828" s="1008" t="s">
        <v>1326</v>
      </c>
      <c r="E828" s="662" t="s">
        <v>1315</v>
      </c>
      <c r="F828" s="263" t="s">
        <v>1316</v>
      </c>
      <c r="G828" s="663" t="s">
        <v>259</v>
      </c>
      <c r="H828" s="661"/>
      <c r="I828" s="235" t="s">
        <v>661</v>
      </c>
      <c r="J828" s="103" t="s">
        <v>1317</v>
      </c>
      <c r="K828" s="170" t="s">
        <v>1021</v>
      </c>
      <c r="L828" s="102">
        <v>80</v>
      </c>
      <c r="M828" s="121" t="s">
        <v>256</v>
      </c>
    </row>
    <row r="829" spans="1:13" ht="13.2">
      <c r="A829" s="498">
        <v>6</v>
      </c>
      <c r="B829" s="664"/>
      <c r="C829" s="659" t="s">
        <v>1325</v>
      </c>
      <c r="D829" s="1009"/>
      <c r="E829" s="665">
        <v>9</v>
      </c>
      <c r="F829" s="263" t="s">
        <v>1316</v>
      </c>
      <c r="G829" s="666" t="s">
        <v>19</v>
      </c>
      <c r="H829" s="667">
        <f>271.4+150+66</f>
        <v>487.4</v>
      </c>
      <c r="I829" s="235" t="s">
        <v>198</v>
      </c>
      <c r="J829" s="103" t="s">
        <v>1321</v>
      </c>
      <c r="K829" s="170" t="s">
        <v>1322</v>
      </c>
      <c r="L829" s="102">
        <v>100</v>
      </c>
      <c r="M829" s="85" t="s">
        <v>256</v>
      </c>
    </row>
    <row r="830" spans="1:13" ht="13.2">
      <c r="A830" s="498">
        <v>6</v>
      </c>
      <c r="B830" s="659"/>
      <c r="C830" s="659" t="s">
        <v>1327</v>
      </c>
      <c r="D830" s="1010" t="s">
        <v>1328</v>
      </c>
      <c r="E830" s="662" t="s">
        <v>1315</v>
      </c>
      <c r="F830" s="263" t="s">
        <v>1316</v>
      </c>
      <c r="G830" s="663" t="s">
        <v>259</v>
      </c>
      <c r="H830" s="661">
        <v>50</v>
      </c>
      <c r="I830" s="235" t="s">
        <v>661</v>
      </c>
      <c r="J830" s="103" t="s">
        <v>1317</v>
      </c>
      <c r="K830" s="164" t="s">
        <v>1308</v>
      </c>
      <c r="L830" s="102">
        <v>1</v>
      </c>
      <c r="M830" s="121" t="s">
        <v>227</v>
      </c>
    </row>
    <row r="831" spans="1:13" ht="16.2" customHeight="1">
      <c r="A831" s="498">
        <v>6</v>
      </c>
      <c r="B831" s="668"/>
      <c r="C831" s="659" t="s">
        <v>1327</v>
      </c>
      <c r="D831" s="1009"/>
      <c r="E831" s="669">
        <v>9</v>
      </c>
      <c r="F831" s="263" t="s">
        <v>1316</v>
      </c>
      <c r="G831" s="670" t="s">
        <v>19</v>
      </c>
      <c r="H831" s="671">
        <v>0</v>
      </c>
      <c r="I831" s="235" t="s">
        <v>198</v>
      </c>
      <c r="J831" s="76" t="s">
        <v>661</v>
      </c>
      <c r="K831" s="164" t="s">
        <v>661</v>
      </c>
      <c r="L831" s="102" t="s">
        <v>661</v>
      </c>
      <c r="M831" s="122" t="s">
        <v>227</v>
      </c>
    </row>
    <row r="832" spans="1:13" ht="21">
      <c r="A832" s="498">
        <v>6</v>
      </c>
      <c r="B832" s="664"/>
      <c r="C832" s="664" t="s">
        <v>1329</v>
      </c>
      <c r="D832" s="1011" t="s">
        <v>1330</v>
      </c>
      <c r="E832" s="672">
        <v>9</v>
      </c>
      <c r="F832" s="263" t="s">
        <v>1316</v>
      </c>
      <c r="G832" s="666" t="s">
        <v>19</v>
      </c>
      <c r="H832" s="667">
        <v>1057.5</v>
      </c>
      <c r="I832" s="235" t="s">
        <v>58</v>
      </c>
      <c r="J832" s="76" t="s">
        <v>1331</v>
      </c>
      <c r="K832" s="164" t="s">
        <v>1332</v>
      </c>
      <c r="L832" s="102">
        <v>60</v>
      </c>
      <c r="M832" s="85" t="s">
        <v>67</v>
      </c>
    </row>
    <row r="833" spans="1:13" ht="18.600000000000001" customHeight="1">
      <c r="A833" s="498">
        <v>6</v>
      </c>
      <c r="B833" s="664"/>
      <c r="C833" s="664" t="s">
        <v>1329</v>
      </c>
      <c r="D833" s="1012"/>
      <c r="E833" s="673" t="s">
        <v>1315</v>
      </c>
      <c r="F833" s="263" t="s">
        <v>1316</v>
      </c>
      <c r="G833" s="670" t="s">
        <v>259</v>
      </c>
      <c r="H833" s="671"/>
      <c r="I833" s="235" t="s">
        <v>661</v>
      </c>
      <c r="J833" s="76" t="s">
        <v>661</v>
      </c>
      <c r="K833" s="164"/>
      <c r="L833" s="102"/>
      <c r="M833" s="123" t="s">
        <v>67</v>
      </c>
    </row>
    <row r="834" spans="1:13" ht="31.2">
      <c r="A834" s="498">
        <v>6</v>
      </c>
      <c r="B834" s="674"/>
      <c r="C834" s="664" t="s">
        <v>1333</v>
      </c>
      <c r="D834" s="675" t="s">
        <v>1334</v>
      </c>
      <c r="E834" s="676">
        <v>9</v>
      </c>
      <c r="F834" s="649" t="s">
        <v>1316</v>
      </c>
      <c r="G834" s="677" t="s">
        <v>19</v>
      </c>
      <c r="H834" s="529">
        <f>60-50</f>
        <v>10</v>
      </c>
      <c r="I834" s="235" t="s">
        <v>58</v>
      </c>
      <c r="J834" s="76" t="s">
        <v>1321</v>
      </c>
      <c r="K834" s="164" t="s">
        <v>417</v>
      </c>
      <c r="L834" s="102">
        <v>1</v>
      </c>
      <c r="M834" s="85" t="s">
        <v>1320</v>
      </c>
    </row>
    <row r="835" spans="1:13" ht="31.2">
      <c r="A835" s="498">
        <v>6</v>
      </c>
      <c r="B835" s="674"/>
      <c r="C835" s="664" t="s">
        <v>1335</v>
      </c>
      <c r="D835" s="675" t="s">
        <v>1336</v>
      </c>
      <c r="E835" s="678">
        <v>9</v>
      </c>
      <c r="F835" s="649" t="s">
        <v>1316</v>
      </c>
      <c r="G835" s="679" t="s">
        <v>19</v>
      </c>
      <c r="H835" s="655">
        <v>33.5</v>
      </c>
      <c r="I835" s="235" t="s">
        <v>198</v>
      </c>
      <c r="J835" s="76" t="s">
        <v>1321</v>
      </c>
      <c r="K835" s="164" t="s">
        <v>1337</v>
      </c>
      <c r="L835" s="102">
        <v>100</v>
      </c>
      <c r="M835" s="97" t="s">
        <v>200</v>
      </c>
    </row>
    <row r="836" spans="1:13" ht="13.2">
      <c r="A836" s="498">
        <v>6</v>
      </c>
      <c r="B836" s="680"/>
      <c r="C836" s="664" t="s">
        <v>1338</v>
      </c>
      <c r="D836" s="1013" t="s">
        <v>1339</v>
      </c>
      <c r="E836" s="681">
        <v>9</v>
      </c>
      <c r="F836" s="682" t="s">
        <v>1316</v>
      </c>
      <c r="G836" s="683" t="s">
        <v>19</v>
      </c>
      <c r="H836" s="667"/>
      <c r="I836" s="235" t="s">
        <v>198</v>
      </c>
      <c r="J836" s="103" t="s">
        <v>1321</v>
      </c>
      <c r="K836" s="170" t="s">
        <v>1322</v>
      </c>
      <c r="L836" s="102">
        <v>100</v>
      </c>
      <c r="M836" s="85" t="s">
        <v>1320</v>
      </c>
    </row>
    <row r="837" spans="1:13" ht="13.2">
      <c r="A837" s="498">
        <v>6</v>
      </c>
      <c r="B837" s="664"/>
      <c r="C837" s="664" t="s">
        <v>1338</v>
      </c>
      <c r="D837" s="1013"/>
      <c r="E837" s="681" t="s">
        <v>1315</v>
      </c>
      <c r="F837" s="682" t="s">
        <v>1316</v>
      </c>
      <c r="G837" s="683" t="s">
        <v>259</v>
      </c>
      <c r="H837" s="667">
        <v>0</v>
      </c>
      <c r="I837" s="235" t="s">
        <v>661</v>
      </c>
      <c r="J837" s="79" t="s">
        <v>1317</v>
      </c>
      <c r="K837" s="171" t="s">
        <v>661</v>
      </c>
      <c r="L837" s="124" t="s">
        <v>661</v>
      </c>
      <c r="M837" s="125" t="s">
        <v>1320</v>
      </c>
    </row>
    <row r="838" spans="1:13" ht="21">
      <c r="A838" s="498">
        <v>6</v>
      </c>
      <c r="B838" s="664"/>
      <c r="C838" s="664" t="s">
        <v>1340</v>
      </c>
      <c r="D838" s="684" t="s">
        <v>1341</v>
      </c>
      <c r="E838" s="681">
        <v>9</v>
      </c>
      <c r="F838" s="682" t="s">
        <v>1316</v>
      </c>
      <c r="G838" s="683" t="s">
        <v>19</v>
      </c>
      <c r="H838" s="667">
        <v>26</v>
      </c>
      <c r="I838" s="235" t="s">
        <v>198</v>
      </c>
      <c r="J838" s="76" t="s">
        <v>1321</v>
      </c>
      <c r="K838" s="164" t="s">
        <v>1017</v>
      </c>
      <c r="L838" s="102">
        <v>1</v>
      </c>
      <c r="M838" s="125" t="s">
        <v>67</v>
      </c>
    </row>
    <row r="839" spans="1:13" ht="21">
      <c r="A839" s="498">
        <v>6</v>
      </c>
      <c r="B839" s="664"/>
      <c r="C839" s="664" t="s">
        <v>1342</v>
      </c>
      <c r="D839" s="685" t="s">
        <v>1343</v>
      </c>
      <c r="E839" s="681">
        <v>9</v>
      </c>
      <c r="F839" s="682" t="s">
        <v>1316</v>
      </c>
      <c r="G839" s="683" t="s">
        <v>19</v>
      </c>
      <c r="H839" s="667"/>
      <c r="I839" s="235" t="s">
        <v>198</v>
      </c>
      <c r="J839" s="76" t="s">
        <v>1321</v>
      </c>
      <c r="K839" s="164" t="s">
        <v>1344</v>
      </c>
      <c r="L839" s="102">
        <v>10</v>
      </c>
      <c r="M839" s="125" t="s">
        <v>200</v>
      </c>
    </row>
    <row r="840" spans="1:13" ht="21">
      <c r="A840" s="498">
        <v>6</v>
      </c>
      <c r="B840" s="686"/>
      <c r="C840" s="686" t="s">
        <v>1345</v>
      </c>
      <c r="D840" s="687" t="s">
        <v>1346</v>
      </c>
      <c r="E840" s="688"/>
      <c r="F840" s="688"/>
      <c r="G840" s="689"/>
      <c r="H840" s="690"/>
      <c r="I840" s="235" t="s">
        <v>661</v>
      </c>
      <c r="J840" s="79" t="s">
        <v>661</v>
      </c>
      <c r="K840" s="166" t="s">
        <v>661</v>
      </c>
      <c r="L840" s="82" t="s">
        <v>661</v>
      </c>
      <c r="M840" s="125" t="s">
        <v>661</v>
      </c>
    </row>
    <row r="841" spans="1:13" ht="13.2">
      <c r="A841" s="498">
        <v>6</v>
      </c>
      <c r="B841" s="691"/>
      <c r="C841" s="691"/>
      <c r="D841" s="692"/>
      <c r="E841" s="693"/>
      <c r="F841" s="693"/>
      <c r="G841" s="694" t="s">
        <v>19</v>
      </c>
      <c r="H841" s="695">
        <f>H845+H851+H852</f>
        <v>499.5</v>
      </c>
      <c r="I841" s="235" t="s">
        <v>661</v>
      </c>
      <c r="J841" s="79" t="s">
        <v>661</v>
      </c>
      <c r="K841" s="165" t="s">
        <v>661</v>
      </c>
      <c r="L841" s="82" t="s">
        <v>661</v>
      </c>
      <c r="M841" s="83" t="s">
        <v>661</v>
      </c>
    </row>
    <row r="842" spans="1:13" ht="13.2">
      <c r="A842" s="498">
        <v>6</v>
      </c>
      <c r="B842" s="691"/>
      <c r="C842" s="691"/>
      <c r="D842" s="692"/>
      <c r="E842" s="693"/>
      <c r="F842" s="693"/>
      <c r="G842" s="694" t="s">
        <v>22</v>
      </c>
      <c r="H842" s="695">
        <f>H857</f>
        <v>280.5</v>
      </c>
      <c r="I842" s="235"/>
      <c r="J842" s="79"/>
      <c r="K842" s="165"/>
      <c r="L842" s="82"/>
      <c r="M842" s="83"/>
    </row>
    <row r="843" spans="1:13" ht="13.2">
      <c r="A843" s="498">
        <v>6</v>
      </c>
      <c r="B843" s="691"/>
      <c r="C843" s="691"/>
      <c r="D843" s="692"/>
      <c r="E843" s="693"/>
      <c r="F843" s="693"/>
      <c r="G843" s="694" t="s">
        <v>178</v>
      </c>
      <c r="H843" s="695">
        <f>SUM(H855)</f>
        <v>100</v>
      </c>
      <c r="I843" s="235"/>
      <c r="J843" s="79"/>
      <c r="K843" s="165"/>
      <c r="L843" s="82"/>
      <c r="M843" s="83"/>
    </row>
    <row r="844" spans="1:13" ht="13.2">
      <c r="A844" s="498">
        <v>6</v>
      </c>
      <c r="B844" s="691"/>
      <c r="C844" s="691"/>
      <c r="D844" s="692"/>
      <c r="E844" s="693"/>
      <c r="F844" s="693"/>
      <c r="G844" s="640" t="s">
        <v>257</v>
      </c>
      <c r="H844" s="695">
        <f>SUM(H841:H843)</f>
        <v>880</v>
      </c>
      <c r="I844" s="235"/>
      <c r="J844" s="79"/>
      <c r="K844" s="165"/>
      <c r="L844" s="82"/>
      <c r="M844" s="83"/>
    </row>
    <row r="845" spans="1:13" ht="21">
      <c r="A845" s="498">
        <v>6</v>
      </c>
      <c r="B845" s="699"/>
      <c r="C845" s="699" t="s">
        <v>1347</v>
      </c>
      <c r="D845" s="700" t="s">
        <v>1348</v>
      </c>
      <c r="E845" s="701">
        <v>9</v>
      </c>
      <c r="F845" s="701" t="s">
        <v>1349</v>
      </c>
      <c r="G845" s="702" t="s">
        <v>19</v>
      </c>
      <c r="H845" s="703">
        <f>SUM(H846:H850)</f>
        <v>117.8</v>
      </c>
      <c r="I845" s="235" t="s">
        <v>661</v>
      </c>
      <c r="J845" s="79" t="s">
        <v>661</v>
      </c>
      <c r="K845" s="165" t="s">
        <v>661</v>
      </c>
      <c r="L845" s="82" t="s">
        <v>661</v>
      </c>
      <c r="M845" s="83" t="s">
        <v>661</v>
      </c>
    </row>
    <row r="846" spans="1:13" ht="21">
      <c r="A846" s="498">
        <v>6</v>
      </c>
      <c r="B846" s="696"/>
      <c r="C846" s="696" t="s">
        <v>1350</v>
      </c>
      <c r="D846" s="704" t="s">
        <v>1351</v>
      </c>
      <c r="E846" s="656">
        <v>9</v>
      </c>
      <c r="F846" s="656" t="s">
        <v>1349</v>
      </c>
      <c r="G846" s="697" t="s">
        <v>19</v>
      </c>
      <c r="H846" s="698">
        <v>20</v>
      </c>
      <c r="I846" s="235" t="s">
        <v>58</v>
      </c>
      <c r="J846" s="79" t="s">
        <v>1321</v>
      </c>
      <c r="K846" s="166" t="s">
        <v>1352</v>
      </c>
      <c r="L846" s="82">
        <v>1</v>
      </c>
      <c r="M846" s="97" t="s">
        <v>67</v>
      </c>
    </row>
    <row r="847" spans="1:13" ht="21">
      <c r="A847" s="498">
        <v>6</v>
      </c>
      <c r="B847" s="696"/>
      <c r="C847" s="696" t="s">
        <v>1353</v>
      </c>
      <c r="D847" s="705" t="s">
        <v>1354</v>
      </c>
      <c r="E847" s="678">
        <v>9</v>
      </c>
      <c r="F847" s="678" t="s">
        <v>1349</v>
      </c>
      <c r="G847" s="679" t="s">
        <v>19</v>
      </c>
      <c r="H847" s="529">
        <v>34.5</v>
      </c>
      <c r="I847" s="235" t="s">
        <v>198</v>
      </c>
      <c r="J847" s="79" t="s">
        <v>1321</v>
      </c>
      <c r="K847" s="166" t="s">
        <v>1352</v>
      </c>
      <c r="L847" s="82">
        <v>1</v>
      </c>
      <c r="M847" s="97" t="s">
        <v>185</v>
      </c>
    </row>
    <row r="848" spans="1:13" ht="21">
      <c r="A848" s="498">
        <v>6</v>
      </c>
      <c r="B848" s="696"/>
      <c r="C848" s="696" t="s">
        <v>1355</v>
      </c>
      <c r="D848" s="705" t="s">
        <v>1356</v>
      </c>
      <c r="E848" s="678">
        <v>9</v>
      </c>
      <c r="F848" s="678" t="s">
        <v>1349</v>
      </c>
      <c r="G848" s="679" t="s">
        <v>19</v>
      </c>
      <c r="H848" s="529">
        <v>21.5</v>
      </c>
      <c r="I848" s="235" t="s">
        <v>198</v>
      </c>
      <c r="J848" s="79" t="s">
        <v>1321</v>
      </c>
      <c r="K848" s="166" t="s">
        <v>1352</v>
      </c>
      <c r="L848" s="82">
        <v>1</v>
      </c>
      <c r="M848" s="97" t="s">
        <v>227</v>
      </c>
    </row>
    <row r="849" spans="1:13" ht="21">
      <c r="A849" s="498">
        <v>6</v>
      </c>
      <c r="B849" s="696"/>
      <c r="C849" s="696" t="s">
        <v>1357</v>
      </c>
      <c r="D849" s="705" t="s">
        <v>1358</v>
      </c>
      <c r="E849" s="678">
        <v>9</v>
      </c>
      <c r="F849" s="678" t="s">
        <v>1349</v>
      </c>
      <c r="G849" s="679" t="s">
        <v>19</v>
      </c>
      <c r="H849" s="529">
        <v>17.600000000000001</v>
      </c>
      <c r="I849" s="235" t="s">
        <v>198</v>
      </c>
      <c r="J849" s="79" t="s">
        <v>1321</v>
      </c>
      <c r="K849" s="166" t="s">
        <v>1352</v>
      </c>
      <c r="L849" s="82">
        <v>1</v>
      </c>
      <c r="M849" s="97" t="s">
        <v>185</v>
      </c>
    </row>
    <row r="850" spans="1:13" ht="31.2">
      <c r="A850" s="498">
        <v>6</v>
      </c>
      <c r="B850" s="696"/>
      <c r="C850" s="696" t="s">
        <v>1359</v>
      </c>
      <c r="D850" s="705" t="s">
        <v>1360</v>
      </c>
      <c r="E850" s="678">
        <v>9</v>
      </c>
      <c r="F850" s="678" t="s">
        <v>1349</v>
      </c>
      <c r="G850" s="679" t="s">
        <v>19</v>
      </c>
      <c r="H850" s="529">
        <v>24.2</v>
      </c>
      <c r="I850" s="235" t="s">
        <v>198</v>
      </c>
      <c r="J850" s="79" t="s">
        <v>1321</v>
      </c>
      <c r="K850" s="166" t="s">
        <v>1352</v>
      </c>
      <c r="L850" s="82">
        <v>1</v>
      </c>
      <c r="M850" s="97" t="s">
        <v>222</v>
      </c>
    </row>
    <row r="851" spans="1:13" ht="41.4">
      <c r="A851" s="498">
        <v>6</v>
      </c>
      <c r="B851" s="696"/>
      <c r="C851" s="696" t="s">
        <v>1361</v>
      </c>
      <c r="D851" s="287" t="s">
        <v>1362</v>
      </c>
      <c r="E851" s="658">
        <v>9</v>
      </c>
      <c r="F851" s="656" t="s">
        <v>1363</v>
      </c>
      <c r="G851" s="697" t="s">
        <v>19</v>
      </c>
      <c r="H851" s="529">
        <f>180-40</f>
        <v>140</v>
      </c>
      <c r="I851" s="235" t="s">
        <v>49</v>
      </c>
      <c r="J851" s="79" t="s">
        <v>1321</v>
      </c>
      <c r="K851" s="166" t="s">
        <v>1364</v>
      </c>
      <c r="L851" s="82">
        <v>84.6</v>
      </c>
      <c r="M851" s="83" t="s">
        <v>661</v>
      </c>
    </row>
    <row r="852" spans="1:13" ht="21">
      <c r="A852" s="498">
        <v>6</v>
      </c>
      <c r="B852" s="699"/>
      <c r="C852" s="699" t="s">
        <v>1365</v>
      </c>
      <c r="D852" s="706" t="s">
        <v>1366</v>
      </c>
      <c r="E852" s="701">
        <v>9</v>
      </c>
      <c r="F852" s="701" t="s">
        <v>1367</v>
      </c>
      <c r="G852" s="702" t="s">
        <v>19</v>
      </c>
      <c r="H852" s="703">
        <f>SUM(H853,H854,H856,H858,H859,H860,H861,H862,H863)</f>
        <v>241.7</v>
      </c>
      <c r="I852" s="235" t="s">
        <v>661</v>
      </c>
      <c r="J852" s="79" t="s">
        <v>661</v>
      </c>
      <c r="K852" s="165" t="s">
        <v>661</v>
      </c>
      <c r="L852" s="82" t="s">
        <v>661</v>
      </c>
      <c r="M852" s="83" t="s">
        <v>661</v>
      </c>
    </row>
    <row r="853" spans="1:13" ht="21">
      <c r="A853" s="498">
        <v>6</v>
      </c>
      <c r="B853" s="696"/>
      <c r="C853" s="707" t="s">
        <v>1368</v>
      </c>
      <c r="D853" s="708" t="s">
        <v>1369</v>
      </c>
      <c r="E853" s="709">
        <v>9</v>
      </c>
      <c r="F853" s="656" t="s">
        <v>1367</v>
      </c>
      <c r="G853" s="697" t="s">
        <v>19</v>
      </c>
      <c r="H853" s="698">
        <v>6.7</v>
      </c>
      <c r="I853" s="235" t="s">
        <v>58</v>
      </c>
      <c r="J853" s="79" t="s">
        <v>1321</v>
      </c>
      <c r="K853" s="166" t="s">
        <v>1370</v>
      </c>
      <c r="L853" s="82">
        <v>100</v>
      </c>
      <c r="M853" s="97" t="s">
        <v>189</v>
      </c>
    </row>
    <row r="854" spans="1:13" ht="13.2">
      <c r="A854" s="498">
        <v>6</v>
      </c>
      <c r="B854" s="696"/>
      <c r="C854" s="707" t="s">
        <v>1372</v>
      </c>
      <c r="D854" s="1014" t="s">
        <v>1373</v>
      </c>
      <c r="E854" s="656">
        <v>9</v>
      </c>
      <c r="F854" s="656" t="s">
        <v>1367</v>
      </c>
      <c r="G854" s="697" t="s">
        <v>19</v>
      </c>
      <c r="H854" s="632">
        <f>290-180-100</f>
        <v>10</v>
      </c>
      <c r="I854" s="235" t="s">
        <v>58</v>
      </c>
      <c r="J854" s="76" t="s">
        <v>1321</v>
      </c>
      <c r="K854" s="164" t="s">
        <v>1370</v>
      </c>
      <c r="L854" s="102">
        <v>40</v>
      </c>
      <c r="M854" s="97" t="s">
        <v>67</v>
      </c>
    </row>
    <row r="855" spans="1:13" ht="18" customHeight="1">
      <c r="A855" s="498">
        <v>6</v>
      </c>
      <c r="B855" s="696"/>
      <c r="C855" s="707" t="s">
        <v>1372</v>
      </c>
      <c r="D855" s="1015"/>
      <c r="E855" s="656">
        <v>9</v>
      </c>
      <c r="F855" s="656" t="s">
        <v>1367</v>
      </c>
      <c r="G855" s="492" t="s">
        <v>178</v>
      </c>
      <c r="H855" s="632">
        <v>100</v>
      </c>
      <c r="I855" s="235"/>
      <c r="J855" s="76"/>
      <c r="K855" s="164"/>
      <c r="L855" s="102"/>
      <c r="M855" s="97"/>
    </row>
    <row r="856" spans="1:13" ht="39" customHeight="1">
      <c r="A856" s="498">
        <v>6</v>
      </c>
      <c r="B856" s="696"/>
      <c r="C856" s="707" t="s">
        <v>1374</v>
      </c>
      <c r="D856" s="1014" t="s">
        <v>1375</v>
      </c>
      <c r="E856" s="656">
        <v>9</v>
      </c>
      <c r="F856" s="656" t="s">
        <v>1367</v>
      </c>
      <c r="G856" s="697" t="s">
        <v>19</v>
      </c>
      <c r="H856" s="632"/>
      <c r="I856" s="235" t="s">
        <v>198</v>
      </c>
      <c r="J856" s="76" t="s">
        <v>1321</v>
      </c>
      <c r="K856" s="164"/>
      <c r="L856" s="102"/>
      <c r="M856" s="97" t="s">
        <v>67</v>
      </c>
    </row>
    <row r="857" spans="1:13" ht="13.2">
      <c r="A857" s="498">
        <v>6</v>
      </c>
      <c r="B857" s="696"/>
      <c r="C857" s="707"/>
      <c r="D857" s="1015"/>
      <c r="E857" s="656">
        <v>9</v>
      </c>
      <c r="F857" s="656" t="s">
        <v>1367</v>
      </c>
      <c r="G857" s="584" t="s">
        <v>22</v>
      </c>
      <c r="H857" s="632">
        <v>280.5</v>
      </c>
      <c r="I857" s="235" t="s">
        <v>198</v>
      </c>
      <c r="J857" s="76" t="s">
        <v>1321</v>
      </c>
      <c r="K857" s="164" t="s">
        <v>1376</v>
      </c>
      <c r="L857" s="102">
        <v>80</v>
      </c>
      <c r="M857" s="97" t="s">
        <v>67</v>
      </c>
    </row>
    <row r="858" spans="1:13" ht="21">
      <c r="A858" s="498">
        <v>6</v>
      </c>
      <c r="B858" s="696"/>
      <c r="C858" s="707" t="s">
        <v>1377</v>
      </c>
      <c r="D858" s="708" t="s">
        <v>1378</v>
      </c>
      <c r="E858" s="656">
        <v>9</v>
      </c>
      <c r="F858" s="656" t="s">
        <v>1367</v>
      </c>
      <c r="G858" s="697" t="s">
        <v>19</v>
      </c>
      <c r="H858" s="632">
        <v>75</v>
      </c>
      <c r="I858" s="235" t="s">
        <v>198</v>
      </c>
      <c r="J858" s="76" t="s">
        <v>1321</v>
      </c>
      <c r="K858" s="164" t="s">
        <v>1379</v>
      </c>
      <c r="L858" s="102">
        <v>50</v>
      </c>
      <c r="M858" s="97" t="s">
        <v>67</v>
      </c>
    </row>
    <row r="859" spans="1:13" ht="21">
      <c r="A859" s="498">
        <v>6</v>
      </c>
      <c r="B859" s="696"/>
      <c r="C859" s="707" t="s">
        <v>1380</v>
      </c>
      <c r="D859" s="708" t="s">
        <v>1381</v>
      </c>
      <c r="E859" s="656">
        <v>9</v>
      </c>
      <c r="F859" s="656" t="s">
        <v>1367</v>
      </c>
      <c r="G859" s="697" t="s">
        <v>19</v>
      </c>
      <c r="H859" s="632">
        <v>40</v>
      </c>
      <c r="I859" s="235" t="s">
        <v>198</v>
      </c>
      <c r="J859" s="76" t="s">
        <v>1321</v>
      </c>
      <c r="K859" s="164" t="s">
        <v>1382</v>
      </c>
      <c r="L859" s="102">
        <v>100</v>
      </c>
      <c r="M859" s="97" t="s">
        <v>192</v>
      </c>
    </row>
    <row r="860" spans="1:13" ht="31.2">
      <c r="A860" s="498">
        <v>6</v>
      </c>
      <c r="B860" s="696"/>
      <c r="C860" s="707" t="s">
        <v>1383</v>
      </c>
      <c r="D860" s="708" t="s">
        <v>949</v>
      </c>
      <c r="E860" s="273">
        <v>9</v>
      </c>
      <c r="F860" s="656" t="s">
        <v>1367</v>
      </c>
      <c r="G860" s="654" t="s">
        <v>19</v>
      </c>
      <c r="H860" s="632">
        <v>50</v>
      </c>
      <c r="I860" s="235" t="s">
        <v>64</v>
      </c>
      <c r="J860" s="76" t="s">
        <v>1321</v>
      </c>
      <c r="K860" s="164" t="s">
        <v>951</v>
      </c>
      <c r="L860" s="77">
        <v>100</v>
      </c>
      <c r="M860" s="78" t="s">
        <v>661</v>
      </c>
    </row>
    <row r="861" spans="1:13" ht="41.4" customHeight="1">
      <c r="A861" s="498">
        <v>6</v>
      </c>
      <c r="B861" s="516"/>
      <c r="C861" s="696" t="s">
        <v>1384</v>
      </c>
      <c r="D861" s="999" t="s">
        <v>1385</v>
      </c>
      <c r="E861" s="273" t="s">
        <v>1386</v>
      </c>
      <c r="F861" s="656" t="s">
        <v>1367</v>
      </c>
      <c r="G861" s="510" t="s">
        <v>19</v>
      </c>
      <c r="H861" s="632">
        <v>60</v>
      </c>
      <c r="I861" s="235" t="s">
        <v>64</v>
      </c>
      <c r="J861" s="76" t="s">
        <v>1387</v>
      </c>
      <c r="K861" s="164" t="s">
        <v>1388</v>
      </c>
      <c r="L861" s="77">
        <v>20</v>
      </c>
      <c r="M861" s="97" t="s">
        <v>661</v>
      </c>
    </row>
    <row r="862" spans="1:13" ht="13.2">
      <c r="A862" s="498">
        <v>6</v>
      </c>
      <c r="B862" s="516"/>
      <c r="C862" s="696" t="s">
        <v>1384</v>
      </c>
      <c r="D862" s="990"/>
      <c r="E862" s="263">
        <v>23</v>
      </c>
      <c r="F862" s="656" t="s">
        <v>1389</v>
      </c>
      <c r="G862" s="654" t="s">
        <v>19</v>
      </c>
      <c r="H862" s="632"/>
      <c r="I862" s="235" t="s">
        <v>64</v>
      </c>
      <c r="J862" s="76"/>
      <c r="K862" s="164"/>
      <c r="L862" s="77"/>
      <c r="M862" s="97" t="s">
        <v>67</v>
      </c>
    </row>
    <row r="863" spans="1:13" ht="13.2">
      <c r="A863" s="498">
        <v>6</v>
      </c>
      <c r="B863" s="516"/>
      <c r="C863" s="696" t="s">
        <v>1384</v>
      </c>
      <c r="D863" s="1000"/>
      <c r="E863" s="263">
        <v>26</v>
      </c>
      <c r="F863" s="656" t="s">
        <v>1371</v>
      </c>
      <c r="G863" s="510" t="s">
        <v>19</v>
      </c>
      <c r="H863" s="632"/>
      <c r="I863" s="235" t="s">
        <v>64</v>
      </c>
      <c r="J863" s="76"/>
      <c r="K863" s="164"/>
      <c r="L863" s="77"/>
      <c r="M863" s="97" t="s">
        <v>192</v>
      </c>
    </row>
    <row r="864" spans="1:13" ht="30.6">
      <c r="A864" s="498">
        <v>6</v>
      </c>
      <c r="B864" s="231" t="s">
        <v>1390</v>
      </c>
      <c r="C864" s="231" t="s">
        <v>1390</v>
      </c>
      <c r="D864" s="506" t="s">
        <v>1391</v>
      </c>
      <c r="E864" s="507"/>
      <c r="F864" s="507"/>
      <c r="G864" s="523"/>
      <c r="H864" s="523">
        <f>SUM(H865,H866)</f>
        <v>200</v>
      </c>
      <c r="I864" s="235" t="s">
        <v>661</v>
      </c>
      <c r="J864" s="76" t="s">
        <v>1392</v>
      </c>
      <c r="K864" s="164" t="s">
        <v>661</v>
      </c>
      <c r="L864" s="77" t="s">
        <v>661</v>
      </c>
      <c r="M864" s="78" t="s">
        <v>661</v>
      </c>
    </row>
    <row r="865" spans="1:13" ht="13.2">
      <c r="A865" s="498">
        <v>6</v>
      </c>
      <c r="B865" s="530"/>
      <c r="C865" s="530"/>
      <c r="D865" s="648" t="s">
        <v>1393</v>
      </c>
      <c r="E865" s="656" t="s">
        <v>478</v>
      </c>
      <c r="F865" s="710" t="s">
        <v>1394</v>
      </c>
      <c r="G865" s="584" t="s">
        <v>22</v>
      </c>
      <c r="H865" s="632">
        <v>3.3</v>
      </c>
      <c r="I865" s="235" t="s">
        <v>661</v>
      </c>
      <c r="J865" s="76" t="s">
        <v>1392</v>
      </c>
      <c r="K865" s="170" t="s">
        <v>1395</v>
      </c>
      <c r="L865" s="77">
        <v>100</v>
      </c>
      <c r="M865" s="78" t="s">
        <v>661</v>
      </c>
    </row>
    <row r="866" spans="1:13" ht="13.2">
      <c r="A866" s="498">
        <v>6</v>
      </c>
      <c r="B866" s="530"/>
      <c r="C866" s="530"/>
      <c r="D866" s="648" t="s">
        <v>1396</v>
      </c>
      <c r="E866" s="656" t="s">
        <v>478</v>
      </c>
      <c r="F866" s="710" t="s">
        <v>1394</v>
      </c>
      <c r="G866" s="492" t="s">
        <v>606</v>
      </c>
      <c r="H866" s="632">
        <v>196.7</v>
      </c>
      <c r="I866" s="235" t="s">
        <v>661</v>
      </c>
      <c r="J866" s="76" t="s">
        <v>1392</v>
      </c>
      <c r="K866" s="170" t="s">
        <v>1395</v>
      </c>
      <c r="L866" s="77">
        <v>100</v>
      </c>
      <c r="M866" s="78" t="s">
        <v>661</v>
      </c>
    </row>
    <row r="867" spans="1:13" ht="30.6">
      <c r="A867" s="498">
        <v>6</v>
      </c>
      <c r="B867" s="231" t="s">
        <v>1397</v>
      </c>
      <c r="C867" s="231" t="s">
        <v>1397</v>
      </c>
      <c r="D867" s="506" t="s">
        <v>1398</v>
      </c>
      <c r="E867" s="507">
        <v>9</v>
      </c>
      <c r="F867" s="507" t="s">
        <v>1399</v>
      </c>
      <c r="G867" s="523" t="s">
        <v>19</v>
      </c>
      <c r="H867" s="523">
        <v>25.7</v>
      </c>
      <c r="I867" s="235" t="s">
        <v>661</v>
      </c>
      <c r="J867" s="79" t="s">
        <v>391</v>
      </c>
      <c r="K867" s="169" t="s">
        <v>1395</v>
      </c>
      <c r="L867" s="80">
        <v>100</v>
      </c>
      <c r="M867" s="81" t="s">
        <v>661</v>
      </c>
    </row>
    <row r="868" spans="1:13" ht="12.75" hidden="1" customHeight="1">
      <c r="A868" s="498">
        <v>6</v>
      </c>
      <c r="B868" s="227"/>
      <c r="C868" s="436"/>
      <c r="D868" s="256"/>
      <c r="E868" s="313"/>
      <c r="F868" s="309"/>
      <c r="G868" s="301" t="s">
        <v>257</v>
      </c>
      <c r="H868" s="301">
        <f>SUM(H865:H866,H844,H812:H816,H785:H786,H782,H768,H762:H762,H756,H746:H747,H734,H666:H673,H612:H620,H568:H569,H867,H795)</f>
        <v>26611</v>
      </c>
      <c r="I868" s="235" t="s">
        <v>661</v>
      </c>
      <c r="J868" s="79" t="s">
        <v>661</v>
      </c>
      <c r="K868" s="166" t="s">
        <v>661</v>
      </c>
      <c r="L868" s="82" t="s">
        <v>661</v>
      </c>
      <c r="M868" s="97" t="s">
        <v>661</v>
      </c>
    </row>
    <row r="869" spans="1:13" ht="12.75" hidden="1" customHeight="1">
      <c r="A869" s="498">
        <v>6</v>
      </c>
      <c r="B869" s="227"/>
      <c r="C869" s="436"/>
      <c r="D869" s="256"/>
      <c r="E869" s="313"/>
      <c r="F869" s="309"/>
      <c r="G869" s="573" t="s">
        <v>19</v>
      </c>
      <c r="H869" s="211">
        <f>SUM(H841,H812,H786,H782,H768,H762,H746,H734,H673,H612,H568,H753,H867,H792)</f>
        <v>12013</v>
      </c>
      <c r="I869" s="235" t="s">
        <v>661</v>
      </c>
      <c r="J869" s="79" t="s">
        <v>661</v>
      </c>
      <c r="K869" s="166" t="s">
        <v>661</v>
      </c>
      <c r="L869" s="82" t="s">
        <v>661</v>
      </c>
      <c r="M869" s="97" t="s">
        <v>661</v>
      </c>
    </row>
    <row r="870" spans="1:13" ht="12.75" hidden="1" customHeight="1">
      <c r="A870" s="498">
        <v>6</v>
      </c>
      <c r="B870" s="227"/>
      <c r="C870" s="436"/>
      <c r="D870" s="256"/>
      <c r="E870" s="313"/>
      <c r="F870" s="309"/>
      <c r="G870" s="573" t="s">
        <v>1060</v>
      </c>
      <c r="H870" s="211">
        <f>SUM(H666)</f>
        <v>3798</v>
      </c>
      <c r="I870" s="235" t="s">
        <v>661</v>
      </c>
      <c r="J870" s="79" t="s">
        <v>661</v>
      </c>
      <c r="K870" s="166" t="s">
        <v>661</v>
      </c>
      <c r="L870" s="82" t="s">
        <v>661</v>
      </c>
      <c r="M870" s="97" t="s">
        <v>661</v>
      </c>
    </row>
    <row r="871" spans="1:13" ht="12.75" hidden="1" customHeight="1">
      <c r="A871" s="498">
        <v>6</v>
      </c>
      <c r="B871" s="227"/>
      <c r="C871" s="436"/>
      <c r="D871" s="256"/>
      <c r="E871" s="313"/>
      <c r="F871" s="309"/>
      <c r="G871" s="573" t="s">
        <v>258</v>
      </c>
      <c r="H871" s="211">
        <f>SUM(H667,H569)</f>
        <v>0</v>
      </c>
      <c r="I871" s="235" t="s">
        <v>661</v>
      </c>
      <c r="J871" s="79" t="s">
        <v>661</v>
      </c>
      <c r="K871" s="166" t="s">
        <v>661</v>
      </c>
      <c r="L871" s="82" t="s">
        <v>661</v>
      </c>
      <c r="M871" s="97" t="s">
        <v>661</v>
      </c>
    </row>
    <row r="872" spans="1:13" ht="12.75" hidden="1" customHeight="1">
      <c r="A872" s="498">
        <v>6</v>
      </c>
      <c r="B872" s="227"/>
      <c r="C872" s="436"/>
      <c r="D872" s="256"/>
      <c r="E872" s="313"/>
      <c r="F872" s="309"/>
      <c r="G872" s="260" t="s">
        <v>75</v>
      </c>
      <c r="H872" s="211">
        <f>H788</f>
        <v>1493.4</v>
      </c>
      <c r="I872" s="235" t="s">
        <v>661</v>
      </c>
      <c r="J872" s="79" t="s">
        <v>661</v>
      </c>
      <c r="K872" s="166" t="s">
        <v>661</v>
      </c>
      <c r="L872" s="82" t="s">
        <v>661</v>
      </c>
      <c r="M872" s="97" t="s">
        <v>661</v>
      </c>
    </row>
    <row r="873" spans="1:13" ht="12.75" hidden="1" customHeight="1">
      <c r="A873" s="498">
        <v>6</v>
      </c>
      <c r="B873" s="227"/>
      <c r="C873" s="436"/>
      <c r="D873" s="256"/>
      <c r="E873" s="313"/>
      <c r="F873" s="309"/>
      <c r="G873" s="573" t="s">
        <v>56</v>
      </c>
      <c r="H873" s="211">
        <f>SUM(H618,H669,H793)</f>
        <v>2356.8999999999996</v>
      </c>
      <c r="I873" s="235" t="s">
        <v>661</v>
      </c>
      <c r="J873" s="79" t="s">
        <v>661</v>
      </c>
      <c r="K873" s="166" t="s">
        <v>661</v>
      </c>
      <c r="L873" s="82" t="s">
        <v>661</v>
      </c>
      <c r="M873" s="97" t="s">
        <v>661</v>
      </c>
    </row>
    <row r="874" spans="1:13" ht="12.75" hidden="1" customHeight="1">
      <c r="A874" s="498">
        <v>6</v>
      </c>
      <c r="B874" s="227"/>
      <c r="C874" s="436"/>
      <c r="D874" s="256"/>
      <c r="E874" s="313"/>
      <c r="F874" s="309"/>
      <c r="G874" s="549" t="s">
        <v>259</v>
      </c>
      <c r="H874" s="211">
        <f>SUM(H837,H833,H830,H828,H820,H819,H648,H806,H755,H641,H824)</f>
        <v>2074.8000000000002</v>
      </c>
      <c r="I874" s="235" t="s">
        <v>661</v>
      </c>
      <c r="J874" s="79" t="s">
        <v>661</v>
      </c>
      <c r="K874" s="166" t="s">
        <v>661</v>
      </c>
      <c r="L874" s="82" t="s">
        <v>661</v>
      </c>
      <c r="M874" s="97" t="s">
        <v>661</v>
      </c>
    </row>
    <row r="875" spans="1:13" ht="12.75" hidden="1" customHeight="1">
      <c r="A875" s="498">
        <v>6</v>
      </c>
      <c r="B875" s="227"/>
      <c r="C875" s="436"/>
      <c r="D875" s="256"/>
      <c r="E875" s="313"/>
      <c r="F875" s="423"/>
      <c r="G875" s="552" t="s">
        <v>177</v>
      </c>
      <c r="H875" s="211">
        <f>H683+H634</f>
        <v>97.199999999999989</v>
      </c>
      <c r="I875" s="235" t="s">
        <v>661</v>
      </c>
      <c r="J875" s="79" t="s">
        <v>661</v>
      </c>
      <c r="K875" s="166" t="s">
        <v>661</v>
      </c>
      <c r="L875" s="82" t="s">
        <v>661</v>
      </c>
      <c r="M875" s="97" t="s">
        <v>661</v>
      </c>
    </row>
    <row r="876" spans="1:13" ht="12.75" hidden="1" customHeight="1">
      <c r="A876" s="498">
        <v>6</v>
      </c>
      <c r="B876" s="227"/>
      <c r="C876" s="436"/>
      <c r="D876" s="256"/>
      <c r="E876" s="313"/>
      <c r="F876" s="423"/>
      <c r="G876" s="552" t="s">
        <v>178</v>
      </c>
      <c r="H876" s="211">
        <f>SUM(H750,H632,H647,H855)</f>
        <v>2500</v>
      </c>
      <c r="I876" s="235" t="s">
        <v>661</v>
      </c>
      <c r="J876" s="79" t="s">
        <v>661</v>
      </c>
      <c r="K876" s="166" t="s">
        <v>661</v>
      </c>
      <c r="L876" s="82" t="s">
        <v>661</v>
      </c>
      <c r="M876" s="97" t="s">
        <v>661</v>
      </c>
    </row>
    <row r="877" spans="1:13" ht="12.75" hidden="1" customHeight="1">
      <c r="A877" s="498">
        <v>6</v>
      </c>
      <c r="B877" s="227"/>
      <c r="C877" s="436"/>
      <c r="D877" s="256"/>
      <c r="E877" s="313"/>
      <c r="F877" s="423"/>
      <c r="G877" s="584" t="s">
        <v>22</v>
      </c>
      <c r="H877" s="211">
        <f>H865+H754+H721+H714+H633+H624+H664+H815+H661+H857</f>
        <v>817.2</v>
      </c>
      <c r="I877" s="235" t="s">
        <v>661</v>
      </c>
      <c r="J877" s="79" t="s">
        <v>661</v>
      </c>
      <c r="K877" s="166" t="s">
        <v>661</v>
      </c>
      <c r="L877" s="82" t="s">
        <v>661</v>
      </c>
      <c r="M877" s="97" t="s">
        <v>661</v>
      </c>
    </row>
    <row r="878" spans="1:13" ht="12.75" hidden="1" customHeight="1">
      <c r="A878" s="498">
        <v>6</v>
      </c>
      <c r="B878" s="227"/>
      <c r="C878" s="436"/>
      <c r="D878" s="256"/>
      <c r="E878" s="313"/>
      <c r="F878" s="309"/>
      <c r="G878" s="711" t="s">
        <v>606</v>
      </c>
      <c r="H878" s="211">
        <f>SUM(H614,H814,H866,H671)</f>
        <v>301.5</v>
      </c>
      <c r="I878" s="235" t="s">
        <v>661</v>
      </c>
      <c r="J878" s="79" t="s">
        <v>661</v>
      </c>
      <c r="K878" s="166" t="s">
        <v>661</v>
      </c>
      <c r="L878" s="82" t="s">
        <v>661</v>
      </c>
      <c r="M878" s="97" t="s">
        <v>661</v>
      </c>
    </row>
    <row r="879" spans="1:13" ht="12.75" hidden="1" customHeight="1">
      <c r="A879" s="498">
        <v>6</v>
      </c>
      <c r="B879" s="227"/>
      <c r="C879" s="436"/>
      <c r="D879" s="256"/>
      <c r="E879" s="313"/>
      <c r="F879" s="309"/>
      <c r="G879" s="573" t="s">
        <v>21</v>
      </c>
      <c r="H879" s="211">
        <f>SUM(H615,H672)</f>
        <v>1159</v>
      </c>
      <c r="I879" s="235" t="s">
        <v>661</v>
      </c>
      <c r="J879" s="79" t="s">
        <v>661</v>
      </c>
      <c r="K879" s="166" t="s">
        <v>661</v>
      </c>
      <c r="L879" s="82" t="s">
        <v>661</v>
      </c>
      <c r="M879" s="97" t="s">
        <v>661</v>
      </c>
    </row>
    <row r="880" spans="1:13" ht="12.75" hidden="1" customHeight="1">
      <c r="A880" s="498">
        <v>6</v>
      </c>
      <c r="B880" s="227"/>
      <c r="C880" s="436"/>
      <c r="D880" s="256"/>
      <c r="E880" s="313"/>
      <c r="F880" s="309"/>
      <c r="G880" s="573" t="s">
        <v>500</v>
      </c>
      <c r="H880" s="211">
        <f>H818</f>
        <v>0</v>
      </c>
      <c r="I880" s="235" t="s">
        <v>661</v>
      </c>
      <c r="J880" s="79" t="s">
        <v>661</v>
      </c>
      <c r="K880" s="166" t="s">
        <v>661</v>
      </c>
      <c r="L880" s="82" t="s">
        <v>661</v>
      </c>
      <c r="M880" s="97" t="s">
        <v>661</v>
      </c>
    </row>
    <row r="881" spans="1:13" ht="12.75" hidden="1" customHeight="1">
      <c r="A881" s="498">
        <v>6</v>
      </c>
      <c r="B881" s="227"/>
      <c r="C881" s="436"/>
      <c r="D881" s="256"/>
      <c r="E881" s="313"/>
      <c r="F881" s="309"/>
      <c r="G881" s="573" t="s">
        <v>1400</v>
      </c>
      <c r="H881" s="211">
        <f>H638</f>
        <v>0</v>
      </c>
      <c r="I881" s="235" t="s">
        <v>661</v>
      </c>
      <c r="J881" s="79" t="s">
        <v>661</v>
      </c>
      <c r="K881" s="166" t="s">
        <v>661</v>
      </c>
      <c r="L881" s="82" t="s">
        <v>661</v>
      </c>
      <c r="M881" s="97" t="s">
        <v>661</v>
      </c>
    </row>
    <row r="882" spans="1:13" ht="12.75" hidden="1" customHeight="1">
      <c r="A882" s="498">
        <v>6</v>
      </c>
      <c r="B882" s="227"/>
      <c r="C882" s="436"/>
      <c r="D882" s="256"/>
      <c r="E882" s="313"/>
      <c r="F882" s="309"/>
      <c r="G882" s="573" t="s">
        <v>1277</v>
      </c>
      <c r="H882" s="211"/>
      <c r="I882" s="235" t="s">
        <v>661</v>
      </c>
      <c r="J882" s="79" t="s">
        <v>661</v>
      </c>
      <c r="K882" s="166" t="s">
        <v>661</v>
      </c>
      <c r="L882" s="82" t="s">
        <v>661</v>
      </c>
      <c r="M882" s="97" t="s">
        <v>661</v>
      </c>
    </row>
    <row r="883" spans="1:13" ht="12.75" hidden="1" customHeight="1">
      <c r="A883" s="498">
        <v>6</v>
      </c>
      <c r="B883" s="227"/>
      <c r="C883" s="436"/>
      <c r="D883" s="256"/>
      <c r="E883" s="313"/>
      <c r="F883" s="309"/>
      <c r="G883" s="301" t="s">
        <v>257</v>
      </c>
      <c r="H883" s="301">
        <f>SUM(H869:H882)</f>
        <v>26611.000000000004</v>
      </c>
      <c r="I883" s="235" t="s">
        <v>661</v>
      </c>
      <c r="J883" s="79" t="s">
        <v>661</v>
      </c>
      <c r="K883" s="166" t="s">
        <v>661</v>
      </c>
      <c r="L883" s="82" t="s">
        <v>661</v>
      </c>
      <c r="M883" s="121" t="s">
        <v>661</v>
      </c>
    </row>
    <row r="884" spans="1:13" ht="12.75" hidden="1" customHeight="1">
      <c r="A884" s="498">
        <v>6</v>
      </c>
      <c r="B884" s="227"/>
      <c r="C884" s="436"/>
      <c r="D884" s="256"/>
      <c r="E884" s="313"/>
      <c r="F884" s="309"/>
      <c r="G884" s="384"/>
      <c r="H884" s="384">
        <f>H868-H883</f>
        <v>0</v>
      </c>
      <c r="I884" s="202"/>
      <c r="J884" s="155"/>
      <c r="K884" s="161"/>
      <c r="L884" s="45"/>
      <c r="M884" s="126"/>
    </row>
    <row r="885" spans="1:13" ht="12.75" customHeight="1">
      <c r="A885" s="946"/>
      <c r="B885" s="946"/>
      <c r="C885" s="946"/>
      <c r="D885" s="946" t="s">
        <v>2093</v>
      </c>
      <c r="E885" s="947"/>
      <c r="F885" s="946"/>
      <c r="G885" s="946"/>
      <c r="H885" s="946"/>
      <c r="I885" s="946"/>
      <c r="J885" s="946"/>
      <c r="K885" s="946"/>
      <c r="L885" s="946"/>
      <c r="M885" s="948"/>
    </row>
    <row r="886" spans="1:13" ht="27" customHeight="1">
      <c r="A886" s="712">
        <v>7</v>
      </c>
      <c r="B886" s="305"/>
      <c r="C886" s="305"/>
      <c r="D886" s="306" t="s">
        <v>1401</v>
      </c>
      <c r="E886" s="713"/>
      <c r="F886" s="305"/>
      <c r="G886" s="308"/>
      <c r="H886" s="714"/>
      <c r="I886" s="309"/>
      <c r="J886" s="155"/>
      <c r="K886" s="161"/>
      <c r="L886" s="45"/>
      <c r="M886" s="66"/>
    </row>
    <row r="887" spans="1:13" ht="21" customHeight="1">
      <c r="A887" s="715">
        <v>7</v>
      </c>
      <c r="B887" s="310" t="s">
        <v>1402</v>
      </c>
      <c r="C887" s="310" t="s">
        <v>1402</v>
      </c>
      <c r="D887" s="315" t="s">
        <v>1403</v>
      </c>
      <c r="E887" s="716"/>
      <c r="F887" s="717"/>
      <c r="G887" s="717"/>
      <c r="H887" s="207"/>
      <c r="I887" s="309"/>
      <c r="J887" s="155"/>
      <c r="K887" s="161"/>
      <c r="L887" s="45"/>
      <c r="M887" s="55"/>
    </row>
    <row r="888" spans="1:13" ht="24" customHeight="1">
      <c r="A888" s="712">
        <v>7</v>
      </c>
      <c r="B888" s="718"/>
      <c r="C888" s="718" t="s">
        <v>1411</v>
      </c>
      <c r="D888" s="719" t="s">
        <v>1412</v>
      </c>
      <c r="E888" s="718" t="s">
        <v>508</v>
      </c>
      <c r="F888" s="715" t="s">
        <v>1413</v>
      </c>
      <c r="G888" s="715" t="s">
        <v>19</v>
      </c>
      <c r="H888" s="823">
        <v>200</v>
      </c>
      <c r="I888" s="309" t="s">
        <v>49</v>
      </c>
      <c r="J888" s="791" t="s">
        <v>79</v>
      </c>
      <c r="K888" s="791" t="s">
        <v>343</v>
      </c>
      <c r="L888" s="792">
        <v>100</v>
      </c>
      <c r="M888" s="127"/>
    </row>
    <row r="889" spans="1:13" ht="12.75" customHeight="1">
      <c r="A889" s="715">
        <v>7</v>
      </c>
      <c r="B889" s="718"/>
      <c r="C889" s="718"/>
      <c r="D889" s="719"/>
      <c r="E889" s="718"/>
      <c r="F889" s="715" t="s">
        <v>1413</v>
      </c>
      <c r="G889" s="314" t="s">
        <v>257</v>
      </c>
      <c r="H889" s="220">
        <f>SUM(H888)</f>
        <v>200</v>
      </c>
      <c r="I889" s="309"/>
      <c r="J889" s="155"/>
      <c r="K889" s="161"/>
      <c r="L889" s="45"/>
      <c r="M889" s="127"/>
    </row>
    <row r="890" spans="1:13" ht="21" customHeight="1">
      <c r="A890" s="715">
        <v>7</v>
      </c>
      <c r="B890" s="310" t="s">
        <v>1414</v>
      </c>
      <c r="C890" s="310" t="s">
        <v>1414</v>
      </c>
      <c r="D890" s="315" t="s">
        <v>1415</v>
      </c>
      <c r="E890" s="718"/>
      <c r="F890" s="715"/>
      <c r="G890" s="210"/>
      <c r="H890" s="207"/>
      <c r="I890" s="309"/>
      <c r="J890" s="155"/>
      <c r="K890" s="161"/>
      <c r="L890" s="45"/>
      <c r="M890" s="127"/>
    </row>
    <row r="891" spans="1:13" ht="48" customHeight="1">
      <c r="A891" s="715">
        <v>7</v>
      </c>
      <c r="B891" s="718"/>
      <c r="C891" s="718" t="s">
        <v>1416</v>
      </c>
      <c r="D891" s="489" t="s">
        <v>1417</v>
      </c>
      <c r="E891" s="718" t="s">
        <v>1418</v>
      </c>
      <c r="F891" s="715" t="s">
        <v>1419</v>
      </c>
      <c r="G891" s="715" t="s">
        <v>19</v>
      </c>
      <c r="H891" s="823">
        <v>70</v>
      </c>
      <c r="I891" s="309" t="s">
        <v>64</v>
      </c>
      <c r="J891" s="791" t="s">
        <v>1420</v>
      </c>
      <c r="K891" s="791" t="s">
        <v>1421</v>
      </c>
      <c r="L891" s="792">
        <v>2</v>
      </c>
      <c r="M891" s="127"/>
    </row>
    <row r="892" spans="1:13" ht="20.399999999999999">
      <c r="A892" s="715">
        <v>7</v>
      </c>
      <c r="B892" s="718"/>
      <c r="C892" s="718"/>
      <c r="D892" s="719"/>
      <c r="E892" s="718" t="s">
        <v>1418</v>
      </c>
      <c r="F892" s="715" t="s">
        <v>1419</v>
      </c>
      <c r="G892" s="314" t="s">
        <v>257</v>
      </c>
      <c r="H892" s="220">
        <f>SUM(H891)</f>
        <v>70</v>
      </c>
      <c r="I892" s="309"/>
      <c r="J892" s="791"/>
      <c r="K892" s="791" t="s">
        <v>1422</v>
      </c>
      <c r="L892" s="792">
        <v>5</v>
      </c>
      <c r="M892" s="127"/>
    </row>
    <row r="893" spans="1:13" ht="26.4" customHeight="1">
      <c r="A893" s="715">
        <v>7</v>
      </c>
      <c r="B893" s="718"/>
      <c r="C893" s="718" t="s">
        <v>1423</v>
      </c>
      <c r="D893" s="225" t="s">
        <v>1424</v>
      </c>
      <c r="E893" s="718" t="s">
        <v>1418</v>
      </c>
      <c r="F893" s="715" t="s">
        <v>1425</v>
      </c>
      <c r="G893" s="715" t="s">
        <v>19</v>
      </c>
      <c r="H893" s="721"/>
      <c r="I893" s="309" t="s">
        <v>64</v>
      </c>
      <c r="J893" s="791" t="s">
        <v>1426</v>
      </c>
      <c r="K893" s="791" t="s">
        <v>1427</v>
      </c>
      <c r="L893" s="792">
        <v>1</v>
      </c>
      <c r="M893" s="127" t="s">
        <v>67</v>
      </c>
    </row>
    <row r="894" spans="1:13" ht="21" customHeight="1">
      <c r="A894" s="715">
        <v>7</v>
      </c>
      <c r="B894" s="718"/>
      <c r="C894" s="718"/>
      <c r="D894" s="719"/>
      <c r="E894" s="718" t="s">
        <v>530</v>
      </c>
      <c r="F894" s="715" t="s">
        <v>1428</v>
      </c>
      <c r="G894" s="715" t="s">
        <v>19</v>
      </c>
      <c r="H894" s="824">
        <v>25</v>
      </c>
      <c r="I894" s="309" t="s">
        <v>64</v>
      </c>
      <c r="J894" s="791" t="s">
        <v>498</v>
      </c>
      <c r="K894" s="793" t="s">
        <v>1429</v>
      </c>
      <c r="L894" s="792">
        <v>1</v>
      </c>
      <c r="M894" s="127" t="s">
        <v>67</v>
      </c>
    </row>
    <row r="895" spans="1:13" ht="17.399999999999999" customHeight="1">
      <c r="A895" s="715">
        <v>7</v>
      </c>
      <c r="B895" s="718"/>
      <c r="C895" s="718"/>
      <c r="D895" s="719"/>
      <c r="E895" s="722" t="s">
        <v>616</v>
      </c>
      <c r="F895" s="723" t="s">
        <v>1430</v>
      </c>
      <c r="G895" s="723" t="s">
        <v>19</v>
      </c>
      <c r="H895" s="721"/>
      <c r="I895" s="309" t="s">
        <v>64</v>
      </c>
      <c r="J895" s="155"/>
      <c r="K895" s="161"/>
      <c r="L895" s="45"/>
      <c r="M895" s="127"/>
    </row>
    <row r="896" spans="1:13" ht="26.4" customHeight="1">
      <c r="A896" s="715">
        <v>7</v>
      </c>
      <c r="B896" s="718"/>
      <c r="C896" s="718"/>
      <c r="D896" s="719"/>
      <c r="E896" s="722" t="s">
        <v>623</v>
      </c>
      <c r="F896" s="715" t="s">
        <v>1431</v>
      </c>
      <c r="G896" s="723" t="s">
        <v>19</v>
      </c>
      <c r="H896" s="721">
        <v>5</v>
      </c>
      <c r="I896" s="309" t="s">
        <v>64</v>
      </c>
      <c r="J896" s="791" t="s">
        <v>1432</v>
      </c>
      <c r="K896" s="791" t="s">
        <v>1433</v>
      </c>
      <c r="L896" s="792">
        <v>1</v>
      </c>
      <c r="M896" s="127" t="s">
        <v>227</v>
      </c>
    </row>
    <row r="897" spans="1:13" ht="12.75" customHeight="1">
      <c r="A897" s="712">
        <v>7</v>
      </c>
      <c r="B897" s="718"/>
      <c r="C897" s="718"/>
      <c r="D897" s="719"/>
      <c r="E897" s="718"/>
      <c r="F897" s="715"/>
      <c r="G897" s="314" t="s">
        <v>257</v>
      </c>
      <c r="H897" s="220">
        <f>SUM(H893:H896)</f>
        <v>30</v>
      </c>
      <c r="I897" s="309"/>
      <c r="J897" s="155"/>
      <c r="K897" s="161"/>
      <c r="L897" s="45"/>
      <c r="M897" s="127"/>
    </row>
    <row r="898" spans="1:13" ht="26.4" customHeight="1">
      <c r="A898" s="715">
        <v>7</v>
      </c>
      <c r="B898" s="718"/>
      <c r="C898" s="724" t="s">
        <v>1434</v>
      </c>
      <c r="D898" s="725" t="s">
        <v>1435</v>
      </c>
      <c r="E898" s="718" t="s">
        <v>1418</v>
      </c>
      <c r="F898" s="715" t="s">
        <v>1436</v>
      </c>
      <c r="G898" s="723" t="s">
        <v>415</v>
      </c>
      <c r="H898" s="721">
        <v>50</v>
      </c>
      <c r="I898" s="309" t="s">
        <v>64</v>
      </c>
      <c r="J898" s="791" t="s">
        <v>1426</v>
      </c>
      <c r="K898" s="791" t="s">
        <v>1437</v>
      </c>
      <c r="L898" s="792">
        <v>2</v>
      </c>
      <c r="M898" s="127"/>
    </row>
    <row r="899" spans="1:13" ht="12.75" customHeight="1">
      <c r="A899" s="715">
        <v>7</v>
      </c>
      <c r="B899" s="718"/>
      <c r="C899" s="718"/>
      <c r="D899" s="719"/>
      <c r="E899" s="718"/>
      <c r="F899" s="715"/>
      <c r="G899" s="314" t="s">
        <v>257</v>
      </c>
      <c r="H899" s="220">
        <f>SUM(H898)</f>
        <v>50</v>
      </c>
      <c r="I899" s="309"/>
      <c r="J899" s="155"/>
      <c r="K899" s="161"/>
      <c r="L899" s="45"/>
      <c r="M899" s="127"/>
    </row>
    <row r="900" spans="1:13" ht="22.2" customHeight="1">
      <c r="A900" s="715">
        <v>7</v>
      </c>
      <c r="B900" s="316"/>
      <c r="C900" s="316"/>
      <c r="D900" s="317" t="s">
        <v>1438</v>
      </c>
      <c r="E900" s="726"/>
      <c r="F900" s="316"/>
      <c r="G900" s="319"/>
      <c r="H900" s="320"/>
      <c r="I900" s="309"/>
      <c r="J900" s="155"/>
      <c r="K900" s="161"/>
      <c r="L900" s="45"/>
      <c r="M900" s="127"/>
    </row>
    <row r="901" spans="1:13" ht="18.600000000000001" customHeight="1">
      <c r="A901" s="715">
        <v>7</v>
      </c>
      <c r="B901" s="310" t="s">
        <v>1439</v>
      </c>
      <c r="C901" s="310" t="s">
        <v>1439</v>
      </c>
      <c r="D901" s="315" t="s">
        <v>1440</v>
      </c>
      <c r="E901" s="716"/>
      <c r="F901" s="717"/>
      <c r="G901" s="384"/>
      <c r="H901" s="207"/>
      <c r="I901" s="309"/>
      <c r="J901" s="155"/>
      <c r="K901" s="161"/>
      <c r="L901" s="45"/>
      <c r="M901" s="128"/>
    </row>
    <row r="902" spans="1:13" ht="43.95" customHeight="1">
      <c r="A902" s="715">
        <v>7</v>
      </c>
      <c r="B902" s="718"/>
      <c r="C902" s="727" t="s">
        <v>1441</v>
      </c>
      <c r="D902" s="225" t="s">
        <v>1442</v>
      </c>
      <c r="E902" s="424">
        <v>8</v>
      </c>
      <c r="F902" s="715" t="s">
        <v>1443</v>
      </c>
      <c r="G902" s="309" t="s">
        <v>19</v>
      </c>
      <c r="H902" s="728"/>
      <c r="I902" s="309"/>
      <c r="J902" s="791" t="s">
        <v>1426</v>
      </c>
      <c r="K902" s="794" t="s">
        <v>1444</v>
      </c>
      <c r="L902" s="792">
        <v>100</v>
      </c>
      <c r="M902" s="127"/>
    </row>
    <row r="903" spans="1:13" ht="12.75" customHeight="1">
      <c r="A903" s="715">
        <v>7</v>
      </c>
      <c r="B903" s="718"/>
      <c r="C903" s="727"/>
      <c r="D903" s="729"/>
      <c r="E903" s="424"/>
      <c r="F903" s="715" t="s">
        <v>1443</v>
      </c>
      <c r="G903" s="314" t="s">
        <v>257</v>
      </c>
      <c r="H903" s="220">
        <f>SUM(H902:H902)</f>
        <v>0</v>
      </c>
      <c r="I903" s="309" t="s">
        <v>64</v>
      </c>
      <c r="J903" s="155"/>
      <c r="K903" s="161"/>
      <c r="L903" s="45"/>
      <c r="M903" s="127"/>
    </row>
    <row r="904" spans="1:13" ht="21" customHeight="1">
      <c r="A904" s="715">
        <v>7</v>
      </c>
      <c r="B904" s="718"/>
      <c r="C904" s="718" t="s">
        <v>1452</v>
      </c>
      <c r="D904" s="730" t="s">
        <v>1453</v>
      </c>
      <c r="E904" s="309">
        <v>9</v>
      </c>
      <c r="F904" s="715" t="s">
        <v>1454</v>
      </c>
      <c r="G904" s="309" t="s">
        <v>19</v>
      </c>
      <c r="H904" s="728">
        <f>1518+1000-500-100-918-800+24.8</f>
        <v>224.8</v>
      </c>
      <c r="I904" s="309" t="s">
        <v>182</v>
      </c>
      <c r="J904" s="791" t="s">
        <v>183</v>
      </c>
      <c r="K904" s="794" t="s">
        <v>1455</v>
      </c>
      <c r="L904" s="792">
        <v>100</v>
      </c>
      <c r="M904" s="127" t="s">
        <v>200</v>
      </c>
    </row>
    <row r="905" spans="1:13" ht="12.75" customHeight="1">
      <c r="A905" s="715">
        <v>7</v>
      </c>
      <c r="B905" s="718"/>
      <c r="C905" s="718"/>
      <c r="D905" s="225"/>
      <c r="E905" s="309">
        <v>9</v>
      </c>
      <c r="F905" s="715" t="s">
        <v>1454</v>
      </c>
      <c r="G905" s="309" t="s">
        <v>178</v>
      </c>
      <c r="H905" s="728">
        <v>800</v>
      </c>
      <c r="I905" s="309" t="s">
        <v>182</v>
      </c>
      <c r="J905" s="155"/>
      <c r="K905" s="161"/>
      <c r="L905" s="45"/>
      <c r="M905" s="127" t="s">
        <v>200</v>
      </c>
    </row>
    <row r="906" spans="1:13" ht="12.75" customHeight="1">
      <c r="A906" s="712">
        <v>7</v>
      </c>
      <c r="B906" s="718"/>
      <c r="C906" s="718"/>
      <c r="D906" s="225"/>
      <c r="E906" s="309"/>
      <c r="F906" s="715" t="s">
        <v>1454</v>
      </c>
      <c r="G906" s="314" t="s">
        <v>257</v>
      </c>
      <c r="H906" s="220">
        <f>SUM(H904:H905)</f>
        <v>1024.8</v>
      </c>
      <c r="I906" s="309"/>
      <c r="J906" s="155"/>
      <c r="K906" s="161"/>
      <c r="L906" s="45"/>
      <c r="M906" s="127"/>
    </row>
    <row r="907" spans="1:13" ht="20.399999999999999">
      <c r="A907" s="715">
        <v>7</v>
      </c>
      <c r="B907" s="718"/>
      <c r="C907" s="718" t="s">
        <v>1456</v>
      </c>
      <c r="D907" s="730" t="s">
        <v>1457</v>
      </c>
      <c r="E907" s="309">
        <v>9</v>
      </c>
      <c r="F907" s="715" t="s">
        <v>1458</v>
      </c>
      <c r="G907" s="309" t="s">
        <v>19</v>
      </c>
      <c r="H907" s="728">
        <v>83.1</v>
      </c>
      <c r="I907" s="309" t="s">
        <v>198</v>
      </c>
      <c r="J907" s="795" t="s">
        <v>188</v>
      </c>
      <c r="K907" s="161" t="s">
        <v>1459</v>
      </c>
      <c r="L907" s="45">
        <v>1</v>
      </c>
      <c r="M907" s="127" t="s">
        <v>67</v>
      </c>
    </row>
    <row r="908" spans="1:13" ht="12.75" customHeight="1">
      <c r="A908" s="715">
        <v>7</v>
      </c>
      <c r="B908" s="718"/>
      <c r="C908" s="718"/>
      <c r="D908" s="731"/>
      <c r="E908" s="732"/>
      <c r="F908" s="715" t="s">
        <v>1458</v>
      </c>
      <c r="G908" s="314" t="s">
        <v>257</v>
      </c>
      <c r="H908" s="220">
        <f>SUM(H907:H907)</f>
        <v>83.1</v>
      </c>
      <c r="I908" s="423"/>
      <c r="J908" s="155"/>
      <c r="K908" s="161"/>
      <c r="L908" s="186"/>
      <c r="M908" s="127"/>
    </row>
    <row r="909" spans="1:13" ht="28.2" customHeight="1">
      <c r="A909" s="715">
        <v>7</v>
      </c>
      <c r="B909" s="718"/>
      <c r="C909" s="718" t="s">
        <v>1460</v>
      </c>
      <c r="D909" s="730" t="s">
        <v>1461</v>
      </c>
      <c r="E909" s="309">
        <v>9</v>
      </c>
      <c r="F909" s="715" t="s">
        <v>1462</v>
      </c>
      <c r="G909" s="309" t="s">
        <v>19</v>
      </c>
      <c r="H909" s="728">
        <v>200</v>
      </c>
      <c r="I909" s="423" t="s">
        <v>198</v>
      </c>
      <c r="J909" s="793" t="s">
        <v>217</v>
      </c>
      <c r="K909" s="163" t="s">
        <v>1463</v>
      </c>
      <c r="L909" s="186">
        <v>1</v>
      </c>
      <c r="M909" s="127" t="s">
        <v>228</v>
      </c>
    </row>
    <row r="910" spans="1:13" ht="12.75" customHeight="1">
      <c r="A910" s="715">
        <v>7</v>
      </c>
      <c r="B910" s="718"/>
      <c r="C910" s="718"/>
      <c r="D910" s="731"/>
      <c r="E910" s="733"/>
      <c r="F910" s="715"/>
      <c r="G910" s="314" t="s">
        <v>257</v>
      </c>
      <c r="H910" s="220">
        <f>SUM(H909:H909)</f>
        <v>200</v>
      </c>
      <c r="I910" s="309"/>
      <c r="J910" s="155"/>
      <c r="K910" s="161"/>
      <c r="L910" s="45"/>
      <c r="M910" s="127"/>
    </row>
    <row r="911" spans="1:13" ht="21">
      <c r="A911" s="715">
        <v>7</v>
      </c>
      <c r="B911" s="718"/>
      <c r="C911" s="718" t="s">
        <v>1464</v>
      </c>
      <c r="D911" s="734" t="s">
        <v>1465</v>
      </c>
      <c r="E911" s="736">
        <v>9</v>
      </c>
      <c r="F911" s="736" t="s">
        <v>1466</v>
      </c>
      <c r="G911" s="737" t="s">
        <v>19</v>
      </c>
      <c r="H911" s="738">
        <v>110</v>
      </c>
      <c r="I911" s="309" t="s">
        <v>198</v>
      </c>
      <c r="J911" s="796" t="s">
        <v>188</v>
      </c>
      <c r="K911" s="794" t="s">
        <v>1467</v>
      </c>
      <c r="L911" s="45">
        <v>1</v>
      </c>
      <c r="M911" s="127" t="s">
        <v>227</v>
      </c>
    </row>
    <row r="912" spans="1:13" ht="12.75" customHeight="1">
      <c r="A912" s="715">
        <v>7</v>
      </c>
      <c r="B912" s="718"/>
      <c r="C912" s="718"/>
      <c r="D912" s="225"/>
      <c r="E912" s="733"/>
      <c r="F912" s="715"/>
      <c r="G912" s="314" t="s">
        <v>257</v>
      </c>
      <c r="H912" s="220">
        <f>SUM(H911)</f>
        <v>110</v>
      </c>
      <c r="I912" s="309"/>
      <c r="J912" s="155"/>
      <c r="K912" s="161"/>
      <c r="L912" s="45"/>
      <c r="M912" s="127"/>
    </row>
    <row r="913" spans="1:13" ht="37.950000000000003" customHeight="1">
      <c r="A913" s="715">
        <v>7</v>
      </c>
      <c r="B913" s="316"/>
      <c r="C913" s="316"/>
      <c r="D913" s="317" t="s">
        <v>1469</v>
      </c>
      <c r="E913" s="726"/>
      <c r="F913" s="316"/>
      <c r="G913" s="319"/>
      <c r="H913" s="320">
        <f>SUM(H908)</f>
        <v>83.1</v>
      </c>
      <c r="I913" s="309"/>
      <c r="J913" s="155"/>
      <c r="K913" s="161"/>
      <c r="L913" s="45"/>
      <c r="M913" s="127"/>
    </row>
    <row r="914" spans="1:13" ht="21" customHeight="1">
      <c r="A914" s="715">
        <v>7</v>
      </c>
      <c r="B914" s="310" t="s">
        <v>1470</v>
      </c>
      <c r="C914" s="310" t="s">
        <v>1470</v>
      </c>
      <c r="D914" s="315" t="s">
        <v>1471</v>
      </c>
      <c r="E914" s="715">
        <v>8</v>
      </c>
      <c r="F914" s="715" t="s">
        <v>1472</v>
      </c>
      <c r="G914" s="715" t="s">
        <v>19</v>
      </c>
      <c r="H914" s="720">
        <v>65</v>
      </c>
      <c r="I914" s="309" t="s">
        <v>64</v>
      </c>
      <c r="J914" s="791" t="s">
        <v>1473</v>
      </c>
      <c r="K914" s="794" t="s">
        <v>1474</v>
      </c>
      <c r="L914" s="792">
        <v>24</v>
      </c>
      <c r="M914" s="127"/>
    </row>
    <row r="915" spans="1:13" ht="12.75" customHeight="1">
      <c r="A915" s="715">
        <v>7</v>
      </c>
      <c r="B915" s="718"/>
      <c r="C915" s="718"/>
      <c r="D915" s="719"/>
      <c r="E915" s="715"/>
      <c r="F915" s="715" t="s">
        <v>1472</v>
      </c>
      <c r="G915" s="314" t="s">
        <v>257</v>
      </c>
      <c r="H915" s="220">
        <f>SUM(H914)</f>
        <v>65</v>
      </c>
      <c r="I915" s="309"/>
      <c r="J915" s="791"/>
      <c r="K915" s="794"/>
      <c r="L915" s="792"/>
      <c r="M915" s="127"/>
    </row>
    <row r="916" spans="1:13" ht="33.6" customHeight="1">
      <c r="A916" s="715">
        <v>7</v>
      </c>
      <c r="B916" s="310" t="s">
        <v>1475</v>
      </c>
      <c r="C916" s="310" t="s">
        <v>1475</v>
      </c>
      <c r="D916" s="315" t="s">
        <v>1476</v>
      </c>
      <c r="E916" s="715">
        <v>8</v>
      </c>
      <c r="F916" s="715" t="s">
        <v>1477</v>
      </c>
      <c r="G916" s="715" t="s">
        <v>19</v>
      </c>
      <c r="H916" s="720">
        <v>4.5</v>
      </c>
      <c r="I916" s="309" t="s">
        <v>64</v>
      </c>
      <c r="J916" s="791" t="s">
        <v>1478</v>
      </c>
      <c r="K916" s="794" t="s">
        <v>1479</v>
      </c>
      <c r="L916" s="792">
        <v>5</v>
      </c>
      <c r="M916" s="127"/>
    </row>
    <row r="917" spans="1:13" ht="13.2" customHeight="1">
      <c r="A917" s="712">
        <v>7</v>
      </c>
      <c r="B917" s="386"/>
      <c r="C917" s="386"/>
      <c r="D917" s="245"/>
      <c r="E917" s="715"/>
      <c r="F917" s="715" t="s">
        <v>1477</v>
      </c>
      <c r="G917" s="314" t="s">
        <v>257</v>
      </c>
      <c r="H917" s="220">
        <f>H916</f>
        <v>4.5</v>
      </c>
      <c r="I917" s="309"/>
      <c r="J917" s="155"/>
      <c r="K917" s="161"/>
      <c r="L917" s="45"/>
      <c r="M917" s="127"/>
    </row>
    <row r="918" spans="1:13" ht="30" customHeight="1">
      <c r="A918" s="715">
        <v>7</v>
      </c>
      <c r="B918" s="316"/>
      <c r="C918" s="316"/>
      <c r="D918" s="317" t="s">
        <v>1480</v>
      </c>
      <c r="E918" s="726"/>
      <c r="F918" s="316"/>
      <c r="G918" s="319"/>
      <c r="H918" s="320">
        <f>SUM(H916)</f>
        <v>4.5</v>
      </c>
      <c r="I918" s="309"/>
      <c r="J918" s="155"/>
      <c r="K918" s="161"/>
      <c r="L918" s="45"/>
      <c r="M918" s="129"/>
    </row>
    <row r="919" spans="1:13" ht="12.75" customHeight="1">
      <c r="A919" s="715">
        <v>7</v>
      </c>
      <c r="B919" s="310" t="s">
        <v>1481</v>
      </c>
      <c r="C919" s="310" t="s">
        <v>1481</v>
      </c>
      <c r="D919" s="739" t="s">
        <v>1482</v>
      </c>
      <c r="E919" s="715"/>
      <c r="F919" s="715"/>
      <c r="G919" s="210"/>
      <c r="H919" s="207"/>
      <c r="I919" s="309"/>
      <c r="J919" s="155"/>
      <c r="K919" s="161"/>
      <c r="L919" s="45"/>
      <c r="M919" s="130"/>
    </row>
    <row r="920" spans="1:13" ht="12.75" customHeight="1">
      <c r="A920" s="715">
        <v>7</v>
      </c>
      <c r="B920" s="718"/>
      <c r="C920" s="718" t="s">
        <v>1483</v>
      </c>
      <c r="D920" s="323" t="s">
        <v>1484</v>
      </c>
      <c r="E920" s="715">
        <v>2</v>
      </c>
      <c r="F920" s="715" t="s">
        <v>1485</v>
      </c>
      <c r="G920" s="723"/>
      <c r="H920" s="720"/>
      <c r="I920" s="309"/>
      <c r="J920" s="155"/>
      <c r="K920" s="187"/>
      <c r="L920" s="188"/>
      <c r="M920" s="189"/>
    </row>
    <row r="921" spans="1:13" ht="21.6" customHeight="1">
      <c r="A921" s="715">
        <v>7</v>
      </c>
      <c r="B921" s="718"/>
      <c r="C921" s="724" t="s">
        <v>1486</v>
      </c>
      <c r="D921" s="725" t="s">
        <v>1487</v>
      </c>
      <c r="E921" s="715">
        <v>2</v>
      </c>
      <c r="F921" s="715" t="s">
        <v>1485</v>
      </c>
      <c r="G921" s="715" t="s">
        <v>19</v>
      </c>
      <c r="H921" s="740">
        <v>53.8</v>
      </c>
      <c r="I921" s="309" t="s">
        <v>64</v>
      </c>
      <c r="J921" s="797" t="s">
        <v>1488</v>
      </c>
      <c r="K921" s="797" t="s">
        <v>1489</v>
      </c>
      <c r="L921" s="792">
        <v>8</v>
      </c>
      <c r="M921" s="192"/>
    </row>
    <row r="922" spans="1:13" ht="26.4" customHeight="1">
      <c r="A922" s="715">
        <v>7</v>
      </c>
      <c r="B922" s="718"/>
      <c r="C922" s="724" t="s">
        <v>1490</v>
      </c>
      <c r="D922" s="725" t="s">
        <v>1491</v>
      </c>
      <c r="E922" s="715">
        <v>2</v>
      </c>
      <c r="F922" s="715" t="s">
        <v>1485</v>
      </c>
      <c r="G922" s="715" t="s">
        <v>415</v>
      </c>
      <c r="H922" s="740">
        <v>5</v>
      </c>
      <c r="I922" s="309" t="s">
        <v>64</v>
      </c>
      <c r="J922" s="797" t="s">
        <v>1488</v>
      </c>
      <c r="K922" s="797" t="s">
        <v>1492</v>
      </c>
      <c r="L922" s="792">
        <v>10</v>
      </c>
      <c r="M922" s="192"/>
    </row>
    <row r="923" spans="1:13" ht="12.75" customHeight="1">
      <c r="A923" s="715">
        <v>7</v>
      </c>
      <c r="B923" s="718"/>
      <c r="C923" s="718"/>
      <c r="D923" s="741"/>
      <c r="E923" s="715"/>
      <c r="F923" s="715" t="s">
        <v>1485</v>
      </c>
      <c r="G923" s="314" t="s">
        <v>257</v>
      </c>
      <c r="H923" s="220">
        <f>SUM(H921,H922)</f>
        <v>58.8</v>
      </c>
      <c r="I923" s="309"/>
      <c r="J923" s="155"/>
      <c r="K923" s="185"/>
      <c r="L923" s="190"/>
      <c r="M923" s="191"/>
    </row>
    <row r="924" spans="1:13" ht="24" customHeight="1">
      <c r="A924" s="715">
        <v>7</v>
      </c>
      <c r="B924" s="718"/>
      <c r="C924" s="718" t="s">
        <v>1493</v>
      </c>
      <c r="D924" s="323" t="s">
        <v>1494</v>
      </c>
      <c r="E924" s="715"/>
      <c r="F924" s="715"/>
      <c r="G924" s="723"/>
      <c r="H924" s="742"/>
      <c r="I924" s="309"/>
      <c r="J924" s="155"/>
      <c r="K924" s="161"/>
      <c r="L924" s="45"/>
      <c r="M924" s="132"/>
    </row>
    <row r="925" spans="1:13" ht="33" customHeight="1">
      <c r="A925" s="715">
        <v>7</v>
      </c>
      <c r="B925" s="718"/>
      <c r="C925" s="718" t="s">
        <v>1495</v>
      </c>
      <c r="D925" s="489" t="s">
        <v>1496</v>
      </c>
      <c r="E925" s="715">
        <v>2</v>
      </c>
      <c r="F925" s="715" t="s">
        <v>1497</v>
      </c>
      <c r="G925" s="715" t="s">
        <v>19</v>
      </c>
      <c r="H925" s="720"/>
      <c r="I925" s="309" t="s">
        <v>182</v>
      </c>
      <c r="J925" s="797" t="s">
        <v>1488</v>
      </c>
      <c r="K925" s="798"/>
      <c r="L925" s="799">
        <v>0</v>
      </c>
      <c r="M925" s="133" t="s">
        <v>192</v>
      </c>
    </row>
    <row r="926" spans="1:13" ht="12.75" customHeight="1">
      <c r="A926" s="715">
        <v>7</v>
      </c>
      <c r="B926" s="718"/>
      <c r="C926" s="718" t="s">
        <v>1495</v>
      </c>
      <c r="D926" s="743"/>
      <c r="E926" s="715">
        <v>2</v>
      </c>
      <c r="F926" s="715" t="s">
        <v>1497</v>
      </c>
      <c r="G926" s="715" t="s">
        <v>1400</v>
      </c>
      <c r="H926" s="294"/>
      <c r="I926" s="309" t="s">
        <v>182</v>
      </c>
      <c r="J926" s="797"/>
      <c r="K926" s="798"/>
      <c r="L926" s="799"/>
      <c r="M926" s="133" t="s">
        <v>192</v>
      </c>
    </row>
    <row r="927" spans="1:13" ht="32.25" customHeight="1">
      <c r="A927" s="712">
        <v>7</v>
      </c>
      <c r="B927" s="718"/>
      <c r="C927" s="718" t="s">
        <v>1498</v>
      </c>
      <c r="D927" s="489" t="s">
        <v>1499</v>
      </c>
      <c r="E927" s="715">
        <v>2</v>
      </c>
      <c r="F927" s="715" t="s">
        <v>1497</v>
      </c>
      <c r="G927" s="210" t="s">
        <v>19</v>
      </c>
      <c r="H927" s="720">
        <f>190-90</f>
        <v>100</v>
      </c>
      <c r="I927" s="309" t="s">
        <v>58</v>
      </c>
      <c r="J927" s="797" t="s">
        <v>1488</v>
      </c>
      <c r="K927" s="798" t="s">
        <v>1500</v>
      </c>
      <c r="L927" s="799">
        <v>1</v>
      </c>
      <c r="M927" s="133" t="s">
        <v>227</v>
      </c>
    </row>
    <row r="928" spans="1:13" ht="27" customHeight="1">
      <c r="A928" s="715">
        <v>7</v>
      </c>
      <c r="B928" s="718"/>
      <c r="C928" s="718" t="s">
        <v>1501</v>
      </c>
      <c r="D928" s="416" t="s">
        <v>1502</v>
      </c>
      <c r="E928" s="715">
        <v>29</v>
      </c>
      <c r="F928" s="715" t="s">
        <v>1503</v>
      </c>
      <c r="G928" s="715" t="s">
        <v>19</v>
      </c>
      <c r="H928" s="720">
        <v>12</v>
      </c>
      <c r="I928" s="309" t="s">
        <v>58</v>
      </c>
      <c r="J928" s="797" t="s">
        <v>1254</v>
      </c>
      <c r="K928" s="798" t="s">
        <v>480</v>
      </c>
      <c r="L928" s="799">
        <v>1</v>
      </c>
      <c r="M928" s="133" t="s">
        <v>227</v>
      </c>
    </row>
    <row r="929" spans="1:13" ht="24" customHeight="1">
      <c r="A929" s="715">
        <v>7</v>
      </c>
      <c r="B929" s="718"/>
      <c r="C929" s="718" t="s">
        <v>1504</v>
      </c>
      <c r="D929" s="416" t="s">
        <v>1505</v>
      </c>
      <c r="E929" s="715">
        <v>26</v>
      </c>
      <c r="F929" s="715" t="s">
        <v>1506</v>
      </c>
      <c r="G929" s="210" t="s">
        <v>19</v>
      </c>
      <c r="H929" s="294">
        <v>30</v>
      </c>
      <c r="I929" s="309" t="s">
        <v>198</v>
      </c>
      <c r="J929" s="797" t="s">
        <v>1012</v>
      </c>
      <c r="K929" s="798" t="s">
        <v>1507</v>
      </c>
      <c r="L929" s="800">
        <v>1</v>
      </c>
      <c r="M929" s="133" t="s">
        <v>192</v>
      </c>
    </row>
    <row r="930" spans="1:13" ht="23.4" customHeight="1">
      <c r="A930" s="715">
        <v>7</v>
      </c>
      <c r="B930" s="718"/>
      <c r="C930" s="718" t="s">
        <v>1508</v>
      </c>
      <c r="D930" s="975" t="s">
        <v>1509</v>
      </c>
      <c r="E930" s="715">
        <v>2</v>
      </c>
      <c r="F930" s="715" t="s">
        <v>1497</v>
      </c>
      <c r="G930" s="210" t="s">
        <v>19</v>
      </c>
      <c r="H930" s="744">
        <v>20</v>
      </c>
      <c r="I930" s="309" t="s">
        <v>198</v>
      </c>
      <c r="J930" s="797" t="s">
        <v>1488</v>
      </c>
      <c r="K930" s="801" t="s">
        <v>1510</v>
      </c>
      <c r="L930" s="799">
        <v>1</v>
      </c>
      <c r="M930" s="133" t="s">
        <v>67</v>
      </c>
    </row>
    <row r="931" spans="1:13" ht="12.75" customHeight="1">
      <c r="A931" s="715">
        <v>7</v>
      </c>
      <c r="B931" s="718"/>
      <c r="C931" s="718"/>
      <c r="D931" s="977"/>
      <c r="E931" s="715"/>
      <c r="F931" s="715" t="s">
        <v>1497</v>
      </c>
      <c r="G931" s="715" t="s">
        <v>1400</v>
      </c>
      <c r="H931" s="744">
        <v>24.2</v>
      </c>
      <c r="I931" s="309"/>
      <c r="J931" s="797"/>
      <c r="K931" s="798"/>
      <c r="L931" s="799"/>
      <c r="M931" s="133"/>
    </row>
    <row r="932" spans="1:13" ht="24" customHeight="1">
      <c r="A932" s="715">
        <v>7</v>
      </c>
      <c r="B932" s="724"/>
      <c r="C932" s="328" t="s">
        <v>1511</v>
      </c>
      <c r="D932" s="986" t="s">
        <v>1512</v>
      </c>
      <c r="E932" s="715">
        <v>2</v>
      </c>
      <c r="F932" s="715" t="s">
        <v>1497</v>
      </c>
      <c r="G932" s="210" t="s">
        <v>19</v>
      </c>
      <c r="H932" s="721">
        <v>10</v>
      </c>
      <c r="I932" s="309" t="s">
        <v>58</v>
      </c>
      <c r="J932" s="802" t="s">
        <v>1488</v>
      </c>
      <c r="K932" s="794" t="s">
        <v>1513</v>
      </c>
      <c r="L932" s="799">
        <v>1</v>
      </c>
      <c r="M932" s="134" t="s">
        <v>189</v>
      </c>
    </row>
    <row r="933" spans="1:13" ht="12.75" customHeight="1">
      <c r="A933" s="715">
        <v>7</v>
      </c>
      <c r="B933" s="724"/>
      <c r="C933" s="328"/>
      <c r="D933" s="988"/>
      <c r="E933" s="715">
        <v>2</v>
      </c>
      <c r="F933" s="715" t="s">
        <v>1497</v>
      </c>
      <c r="G933" s="715" t="s">
        <v>1400</v>
      </c>
      <c r="H933" s="721">
        <v>55.2</v>
      </c>
      <c r="I933" s="309"/>
      <c r="J933" s="155"/>
      <c r="K933" s="161"/>
      <c r="L933" s="45"/>
      <c r="M933" s="134"/>
    </row>
    <row r="934" spans="1:13" ht="12.75" customHeight="1">
      <c r="A934" s="715">
        <v>7</v>
      </c>
      <c r="B934" s="718"/>
      <c r="C934" s="718"/>
      <c r="D934" s="416"/>
      <c r="E934" s="715"/>
      <c r="F934" s="715" t="s">
        <v>1497</v>
      </c>
      <c r="G934" s="314" t="s">
        <v>257</v>
      </c>
      <c r="H934" s="220">
        <f>SUM(H925:H933)</f>
        <v>251.39999999999998</v>
      </c>
      <c r="I934" s="309"/>
      <c r="J934" s="155"/>
      <c r="K934" s="161"/>
      <c r="L934" s="45"/>
      <c r="M934" s="135"/>
    </row>
    <row r="935" spans="1:13" ht="20.25" customHeight="1">
      <c r="A935" s="715">
        <v>7</v>
      </c>
      <c r="B935" s="718"/>
      <c r="C935" s="718" t="s">
        <v>1514</v>
      </c>
      <c r="D935" s="323" t="s">
        <v>1515</v>
      </c>
      <c r="E935" s="745">
        <v>2</v>
      </c>
      <c r="F935" s="715" t="s">
        <v>1516</v>
      </c>
      <c r="G935" s="715" t="s">
        <v>19</v>
      </c>
      <c r="H935" s="720">
        <f>150+4.6</f>
        <v>154.6</v>
      </c>
      <c r="I935" s="309" t="s">
        <v>64</v>
      </c>
      <c r="J935" s="791" t="s">
        <v>1517</v>
      </c>
      <c r="K935" s="794" t="s">
        <v>1518</v>
      </c>
      <c r="L935" s="792">
        <v>6</v>
      </c>
      <c r="M935" s="127"/>
    </row>
    <row r="936" spans="1:13" ht="12.75" customHeight="1">
      <c r="A936" s="715">
        <v>7</v>
      </c>
      <c r="B936" s="718"/>
      <c r="C936" s="718"/>
      <c r="D936" s="719"/>
      <c r="E936" s="715"/>
      <c r="F936" s="715" t="s">
        <v>1516</v>
      </c>
      <c r="G936" s="314" t="s">
        <v>257</v>
      </c>
      <c r="H936" s="220">
        <f>SUM(H935)</f>
        <v>154.6</v>
      </c>
      <c r="I936" s="309"/>
      <c r="J936" s="155"/>
      <c r="K936" s="161"/>
      <c r="L936" s="188"/>
      <c r="M936" s="129"/>
    </row>
    <row r="937" spans="1:13" ht="27.75" customHeight="1">
      <c r="A937" s="715">
        <v>7</v>
      </c>
      <c r="B937" s="718"/>
      <c r="C937" s="718" t="s">
        <v>1519</v>
      </c>
      <c r="D937" s="323" t="s">
        <v>1520</v>
      </c>
      <c r="E937" s="745">
        <v>2</v>
      </c>
      <c r="F937" s="715" t="s">
        <v>1521</v>
      </c>
      <c r="G937" s="723"/>
      <c r="H937" s="740"/>
      <c r="I937" s="309"/>
      <c r="J937" s="797" t="s">
        <v>1522</v>
      </c>
      <c r="K937" s="803"/>
      <c r="L937" s="792"/>
      <c r="M937" s="193"/>
    </row>
    <row r="938" spans="1:13" ht="20.399999999999999">
      <c r="A938" s="715">
        <v>7</v>
      </c>
      <c r="B938" s="718"/>
      <c r="C938" s="724" t="s">
        <v>1523</v>
      </c>
      <c r="D938" s="746" t="s">
        <v>1524</v>
      </c>
      <c r="E938" s="747">
        <v>2</v>
      </c>
      <c r="F938" s="748" t="s">
        <v>1521</v>
      </c>
      <c r="G938" s="748" t="s">
        <v>19</v>
      </c>
      <c r="H938" s="720">
        <v>139</v>
      </c>
      <c r="I938" s="309" t="s">
        <v>198</v>
      </c>
      <c r="J938" s="797" t="s">
        <v>1522</v>
      </c>
      <c r="K938" s="804" t="s">
        <v>1525</v>
      </c>
      <c r="L938" s="792">
        <v>70</v>
      </c>
      <c r="M938" s="194" t="s">
        <v>200</v>
      </c>
    </row>
    <row r="939" spans="1:13" ht="30.6" customHeight="1">
      <c r="A939" s="715">
        <v>7</v>
      </c>
      <c r="B939" s="718"/>
      <c r="C939" s="724" t="s">
        <v>1526</v>
      </c>
      <c r="D939" s="746" t="s">
        <v>1527</v>
      </c>
      <c r="E939" s="747">
        <v>2</v>
      </c>
      <c r="F939" s="748" t="s">
        <v>1521</v>
      </c>
      <c r="G939" s="748" t="s">
        <v>19</v>
      </c>
      <c r="H939" s="720">
        <f>70-50</f>
        <v>20</v>
      </c>
      <c r="I939" s="309" t="s">
        <v>198</v>
      </c>
      <c r="J939" s="797" t="s">
        <v>1488</v>
      </c>
      <c r="K939" s="794" t="s">
        <v>1528</v>
      </c>
      <c r="L939" s="792">
        <v>1</v>
      </c>
      <c r="M939" s="195" t="s">
        <v>185</v>
      </c>
    </row>
    <row r="940" spans="1:13" ht="12.75" customHeight="1">
      <c r="A940" s="715">
        <v>7</v>
      </c>
      <c r="B940" s="718"/>
      <c r="C940" s="718"/>
      <c r="D940" s="464"/>
      <c r="E940" s="745"/>
      <c r="F940" s="715" t="s">
        <v>1521</v>
      </c>
      <c r="G940" s="314" t="s">
        <v>257</v>
      </c>
      <c r="H940" s="220">
        <f>SUM(H938:H938,H939)</f>
        <v>159</v>
      </c>
      <c r="I940" s="309"/>
      <c r="J940" s="155"/>
      <c r="K940" s="161"/>
      <c r="L940" s="190"/>
      <c r="M940" s="136"/>
    </row>
    <row r="941" spans="1:13" ht="31.95" customHeight="1">
      <c r="A941" s="715">
        <v>7</v>
      </c>
      <c r="B941" s="749"/>
      <c r="C941" s="749" t="s">
        <v>1529</v>
      </c>
      <c r="D941" s="323" t="s">
        <v>1530</v>
      </c>
      <c r="E941" s="750">
        <v>2</v>
      </c>
      <c r="F941" s="750" t="s">
        <v>1531</v>
      </c>
      <c r="G941" s="750" t="s">
        <v>19</v>
      </c>
      <c r="H941" s="720"/>
      <c r="I941" s="309"/>
      <c r="J941" s="155"/>
      <c r="K941" s="161"/>
      <c r="L941" s="45"/>
      <c r="M941" s="131"/>
    </row>
    <row r="942" spans="1:13" ht="24.75" customHeight="1">
      <c r="A942" s="715">
        <v>7</v>
      </c>
      <c r="B942" s="749"/>
      <c r="C942" s="749" t="s">
        <v>1532</v>
      </c>
      <c r="D942" s="751" t="s">
        <v>1533</v>
      </c>
      <c r="E942" s="750">
        <v>2</v>
      </c>
      <c r="F942" s="750" t="s">
        <v>1531</v>
      </c>
      <c r="G942" s="750" t="s">
        <v>19</v>
      </c>
      <c r="H942" s="720">
        <v>13</v>
      </c>
      <c r="I942" s="309" t="s">
        <v>49</v>
      </c>
      <c r="J942" s="797" t="s">
        <v>1488</v>
      </c>
      <c r="K942" s="798" t="s">
        <v>1534</v>
      </c>
      <c r="L942" s="805">
        <v>10</v>
      </c>
      <c r="M942" s="860"/>
    </row>
    <row r="943" spans="1:13" ht="20.25" customHeight="1">
      <c r="A943" s="715">
        <v>7</v>
      </c>
      <c r="B943" s="749"/>
      <c r="C943" s="749" t="s">
        <v>1535</v>
      </c>
      <c r="D943" s="751" t="s">
        <v>1536</v>
      </c>
      <c r="E943" s="750">
        <v>2</v>
      </c>
      <c r="F943" s="750" t="s">
        <v>1531</v>
      </c>
      <c r="G943" s="750" t="s">
        <v>19</v>
      </c>
      <c r="H943" s="720">
        <v>4.7</v>
      </c>
      <c r="I943" s="309" t="s">
        <v>49</v>
      </c>
      <c r="J943" s="797" t="s">
        <v>1488</v>
      </c>
      <c r="K943" s="798" t="s">
        <v>1537</v>
      </c>
      <c r="L943" s="805">
        <v>6</v>
      </c>
      <c r="M943" s="860"/>
    </row>
    <row r="944" spans="1:13" ht="19.5" customHeight="1">
      <c r="A944" s="712">
        <v>7</v>
      </c>
      <c r="B944" s="749"/>
      <c r="C944" s="749" t="s">
        <v>1538</v>
      </c>
      <c r="D944" s="751" t="s">
        <v>1539</v>
      </c>
      <c r="E944" s="750">
        <v>2</v>
      </c>
      <c r="F944" s="750" t="s">
        <v>1531</v>
      </c>
      <c r="G944" s="750" t="s">
        <v>19</v>
      </c>
      <c r="H944" s="720">
        <v>3</v>
      </c>
      <c r="I944" s="309" t="s">
        <v>49</v>
      </c>
      <c r="J944" s="797" t="s">
        <v>1488</v>
      </c>
      <c r="K944" s="804" t="s">
        <v>1540</v>
      </c>
      <c r="L944" s="805">
        <v>2</v>
      </c>
      <c r="M944" s="860"/>
    </row>
    <row r="945" spans="1:13" ht="16.5" customHeight="1">
      <c r="A945" s="715">
        <v>7</v>
      </c>
      <c r="B945" s="749"/>
      <c r="C945" s="749" t="s">
        <v>1541</v>
      </c>
      <c r="D945" s="752" t="s">
        <v>1542</v>
      </c>
      <c r="E945" s="750">
        <v>2</v>
      </c>
      <c r="F945" s="750" t="s">
        <v>1531</v>
      </c>
      <c r="G945" s="750" t="s">
        <v>19</v>
      </c>
      <c r="H945" s="720">
        <v>6.7</v>
      </c>
      <c r="I945" s="309" t="s">
        <v>58</v>
      </c>
      <c r="J945" s="797" t="s">
        <v>1488</v>
      </c>
      <c r="K945" s="798" t="s">
        <v>1543</v>
      </c>
      <c r="L945" s="805">
        <v>1</v>
      </c>
      <c r="M945" s="861" t="s">
        <v>228</v>
      </c>
    </row>
    <row r="946" spans="1:13" ht="21.75" customHeight="1">
      <c r="A946" s="715">
        <v>7</v>
      </c>
      <c r="B946" s="749"/>
      <c r="C946" s="749" t="s">
        <v>1544</v>
      </c>
      <c r="D946" s="753" t="s">
        <v>1545</v>
      </c>
      <c r="E946" s="750">
        <v>2</v>
      </c>
      <c r="F946" s="750" t="s">
        <v>1531</v>
      </c>
      <c r="G946" s="750" t="s">
        <v>19</v>
      </c>
      <c r="H946" s="720">
        <v>5</v>
      </c>
      <c r="I946" s="309" t="s">
        <v>49</v>
      </c>
      <c r="J946" s="797" t="s">
        <v>1488</v>
      </c>
      <c r="K946" s="864"/>
      <c r="L946" s="863"/>
      <c r="M946" s="862"/>
    </row>
    <row r="947" spans="1:13" ht="12.75" customHeight="1">
      <c r="A947" s="715">
        <v>7</v>
      </c>
      <c r="B947" s="749"/>
      <c r="C947" s="749"/>
      <c r="D947" s="464"/>
      <c r="E947" s="750"/>
      <c r="F947" s="750" t="s">
        <v>1531</v>
      </c>
      <c r="G947" s="314" t="s">
        <v>257</v>
      </c>
      <c r="H947" s="220">
        <f>H942+H943+H944+H945+H946</f>
        <v>32.4</v>
      </c>
      <c r="I947" s="309"/>
      <c r="J947" s="155"/>
      <c r="K947" s="161"/>
      <c r="L947" s="45"/>
      <c r="M947" s="135"/>
    </row>
    <row r="948" spans="1:13" ht="22.5" customHeight="1">
      <c r="A948" s="715">
        <v>7</v>
      </c>
      <c r="B948" s="310" t="s">
        <v>1546</v>
      </c>
      <c r="C948" s="310" t="s">
        <v>1546</v>
      </c>
      <c r="D948" s="315" t="s">
        <v>1547</v>
      </c>
      <c r="E948" s="750"/>
      <c r="F948" s="715"/>
      <c r="G948" s="210"/>
      <c r="H948" s="754">
        <f>H953</f>
        <v>38</v>
      </c>
      <c r="I948" s="309"/>
      <c r="J948" s="155"/>
      <c r="K948" s="161"/>
      <c r="L948" s="45"/>
      <c r="M948" s="135"/>
    </row>
    <row r="949" spans="1:13" ht="30.75" customHeight="1">
      <c r="A949" s="715">
        <v>7</v>
      </c>
      <c r="B949" s="718"/>
      <c r="C949" s="718" t="s">
        <v>1548</v>
      </c>
      <c r="D949" s="323" t="s">
        <v>1549</v>
      </c>
      <c r="E949" s="723">
        <v>2</v>
      </c>
      <c r="F949" s="715" t="s">
        <v>1550</v>
      </c>
      <c r="G949" s="212"/>
      <c r="H949" s="294"/>
      <c r="I949" s="309"/>
      <c r="J949" s="155"/>
      <c r="K949" s="161"/>
      <c r="L949" s="45"/>
      <c r="M949" s="137"/>
    </row>
    <row r="950" spans="1:13" ht="22.5" customHeight="1">
      <c r="A950" s="715">
        <v>7</v>
      </c>
      <c r="B950" s="718"/>
      <c r="C950" s="718" t="s">
        <v>1551</v>
      </c>
      <c r="D950" s="251" t="s">
        <v>1552</v>
      </c>
      <c r="E950" s="723">
        <v>2</v>
      </c>
      <c r="F950" s="715" t="s">
        <v>1550</v>
      </c>
      <c r="G950" s="723" t="s">
        <v>19</v>
      </c>
      <c r="H950" s="720">
        <v>30</v>
      </c>
      <c r="I950" s="309" t="s">
        <v>198</v>
      </c>
      <c r="J950" s="797" t="s">
        <v>1488</v>
      </c>
      <c r="K950" s="825" t="s">
        <v>1553</v>
      </c>
      <c r="L950" s="799">
        <v>100</v>
      </c>
      <c r="M950" s="127" t="s">
        <v>200</v>
      </c>
    </row>
    <row r="951" spans="1:13" ht="20.25" customHeight="1">
      <c r="A951" s="712">
        <v>7</v>
      </c>
      <c r="B951" s="718"/>
      <c r="C951" s="718" t="s">
        <v>1554</v>
      </c>
      <c r="D951" s="251" t="s">
        <v>1555</v>
      </c>
      <c r="E951" s="723">
        <v>2</v>
      </c>
      <c r="F951" s="715" t="s">
        <v>1550</v>
      </c>
      <c r="G951" s="723" t="s">
        <v>19</v>
      </c>
      <c r="H951" s="720">
        <v>5</v>
      </c>
      <c r="I951" s="309" t="s">
        <v>58</v>
      </c>
      <c r="J951" s="797" t="s">
        <v>1488</v>
      </c>
      <c r="K951" s="797" t="s">
        <v>1556</v>
      </c>
      <c r="L951" s="799">
        <v>2</v>
      </c>
      <c r="M951" s="127"/>
    </row>
    <row r="952" spans="1:13" ht="18" customHeight="1">
      <c r="A952" s="715">
        <v>7</v>
      </c>
      <c r="B952" s="718"/>
      <c r="C952" s="718" t="s">
        <v>1557</v>
      </c>
      <c r="D952" s="251" t="s">
        <v>1558</v>
      </c>
      <c r="E952" s="723">
        <v>28</v>
      </c>
      <c r="F952" s="723" t="s">
        <v>1559</v>
      </c>
      <c r="G952" s="723" t="s">
        <v>19</v>
      </c>
      <c r="H952" s="720">
        <v>3</v>
      </c>
      <c r="I952" s="309" t="s">
        <v>198</v>
      </c>
      <c r="J952" s="797" t="s">
        <v>1250</v>
      </c>
      <c r="K952" s="797" t="s">
        <v>1560</v>
      </c>
      <c r="L952" s="799">
        <v>1</v>
      </c>
      <c r="M952" s="127" t="s">
        <v>200</v>
      </c>
    </row>
    <row r="953" spans="1:13" ht="12.75" customHeight="1">
      <c r="A953" s="715">
        <v>7</v>
      </c>
      <c r="B953" s="718"/>
      <c r="C953" s="718"/>
      <c r="D953" s="245"/>
      <c r="E953" s="723"/>
      <c r="F953" s="715"/>
      <c r="G953" s="314" t="s">
        <v>257</v>
      </c>
      <c r="H953" s="220">
        <f>SUM(H950:H952)</f>
        <v>38</v>
      </c>
      <c r="I953" s="309"/>
      <c r="J953" s="155"/>
      <c r="K953" s="161"/>
      <c r="L953" s="45"/>
      <c r="M953" s="127"/>
    </row>
    <row r="954" spans="1:13" ht="12.75" hidden="1" customHeight="1">
      <c r="A954" s="715">
        <v>7</v>
      </c>
      <c r="B954" s="718"/>
      <c r="C954" s="718"/>
      <c r="D954" s="245"/>
      <c r="E954" s="723"/>
      <c r="F954" s="715"/>
      <c r="G954" s="301" t="s">
        <v>257</v>
      </c>
      <c r="H954" s="301">
        <f>SUM(H889,H892,H897,H903,H906,H908,H915,H917,H923,H934,H936,H940,H947,H953,H910,H912,H899)</f>
        <v>2531.6</v>
      </c>
      <c r="I954" s="309"/>
      <c r="J954" s="155"/>
      <c r="K954" s="161"/>
      <c r="L954" s="45"/>
      <c r="M954" s="133"/>
    </row>
    <row r="955" spans="1:13" ht="12.75" hidden="1" customHeight="1">
      <c r="A955" s="715">
        <v>7</v>
      </c>
      <c r="B955" s="718"/>
      <c r="C955" s="718"/>
      <c r="D955" s="245"/>
      <c r="E955" s="723"/>
      <c r="F955" s="715"/>
      <c r="G955" s="210" t="s">
        <v>19</v>
      </c>
      <c r="H955" s="211">
        <f>SUM(H888,H891,H893,H902,H904,H907,H914,H916,H921:H922,H925,H927,H928,H929,H930,H935,H938:H939,H942:H945,H950:H952,H932,H909,H946:H946,H895,H894,H896,H898,H911)</f>
        <v>1652.2</v>
      </c>
      <c r="I955" s="309"/>
      <c r="J955" s="155"/>
      <c r="K955" s="161"/>
      <c r="L955" s="45"/>
      <c r="M955" s="133"/>
    </row>
    <row r="956" spans="1:13" ht="12.75" hidden="1" customHeight="1">
      <c r="A956" s="715">
        <v>7</v>
      </c>
      <c r="B956" s="718"/>
      <c r="C956" s="718"/>
      <c r="D956" s="245"/>
      <c r="E956" s="723"/>
      <c r="F956" s="715"/>
      <c r="G956" s="210" t="s">
        <v>22</v>
      </c>
      <c r="H956" s="211"/>
      <c r="I956" s="309"/>
      <c r="J956" s="155"/>
      <c r="K956" s="161"/>
      <c r="L956" s="45"/>
      <c r="M956" s="133"/>
    </row>
    <row r="957" spans="1:13" ht="12.75" hidden="1" customHeight="1">
      <c r="A957" s="715">
        <v>7</v>
      </c>
      <c r="B957" s="718"/>
      <c r="C957" s="718"/>
      <c r="D957" s="245"/>
      <c r="E957" s="723"/>
      <c r="F957" s="715"/>
      <c r="G957" s="210" t="s">
        <v>56</v>
      </c>
      <c r="H957" s="211">
        <v>0</v>
      </c>
      <c r="I957" s="309"/>
      <c r="J957" s="155"/>
      <c r="K957" s="161"/>
      <c r="L957" s="45"/>
      <c r="M957" s="133"/>
    </row>
    <row r="958" spans="1:13" ht="12.75" hidden="1" customHeight="1">
      <c r="A958" s="715">
        <v>7</v>
      </c>
      <c r="B958" s="718"/>
      <c r="C958" s="718"/>
      <c r="D958" s="245"/>
      <c r="E958" s="723"/>
      <c r="F958" s="715"/>
      <c r="G958" s="210" t="s">
        <v>178</v>
      </c>
      <c r="H958" s="211">
        <f>H905</f>
        <v>800</v>
      </c>
      <c r="I958" s="309"/>
      <c r="J958" s="155"/>
      <c r="K958" s="161"/>
      <c r="L958" s="45"/>
      <c r="M958" s="133"/>
    </row>
    <row r="959" spans="1:13" ht="12.75" hidden="1" customHeight="1">
      <c r="A959" s="715">
        <v>7</v>
      </c>
      <c r="B959" s="718"/>
      <c r="C959" s="718"/>
      <c r="D959" s="245"/>
      <c r="E959" s="723"/>
      <c r="F959" s="715"/>
      <c r="G959" s="210" t="s">
        <v>59</v>
      </c>
      <c r="H959" s="211"/>
      <c r="I959" s="309"/>
      <c r="J959" s="155"/>
      <c r="K959" s="161"/>
      <c r="L959" s="45"/>
      <c r="M959" s="133"/>
    </row>
    <row r="960" spans="1:13" ht="12.75" hidden="1" customHeight="1">
      <c r="A960" s="715">
        <v>7</v>
      </c>
      <c r="B960" s="718"/>
      <c r="C960" s="718"/>
      <c r="D960" s="245"/>
      <c r="E960" s="723"/>
      <c r="F960" s="715"/>
      <c r="G960" s="210" t="s">
        <v>21</v>
      </c>
      <c r="H960" s="211"/>
      <c r="I960" s="309"/>
      <c r="J960" s="155"/>
      <c r="K960" s="161"/>
      <c r="L960" s="45"/>
      <c r="M960" s="133"/>
    </row>
    <row r="961" spans="1:13" ht="12.75" hidden="1" customHeight="1">
      <c r="A961" s="712">
        <v>7</v>
      </c>
      <c r="B961" s="718"/>
      <c r="C961" s="718"/>
      <c r="D961" s="245"/>
      <c r="E961" s="723"/>
      <c r="F961" s="715"/>
      <c r="G961" s="210" t="s">
        <v>1561</v>
      </c>
      <c r="H961" s="211"/>
      <c r="I961" s="309"/>
      <c r="J961" s="155"/>
      <c r="K961" s="161"/>
      <c r="L961" s="45"/>
      <c r="M961" s="133"/>
    </row>
    <row r="962" spans="1:13" ht="12.75" hidden="1" customHeight="1">
      <c r="A962" s="715">
        <v>7</v>
      </c>
      <c r="B962" s="718"/>
      <c r="C962" s="718"/>
      <c r="D962" s="245"/>
      <c r="E962" s="723"/>
      <c r="F962" s="715"/>
      <c r="G962" s="210" t="s">
        <v>75</v>
      </c>
      <c r="H962" s="211"/>
      <c r="I962" s="309"/>
      <c r="J962" s="155"/>
      <c r="K962" s="161"/>
      <c r="L962" s="45"/>
      <c r="M962" s="133"/>
    </row>
    <row r="963" spans="1:13" ht="12.75" hidden="1" customHeight="1">
      <c r="A963" s="715">
        <v>7</v>
      </c>
      <c r="B963" s="718"/>
      <c r="C963" s="718"/>
      <c r="D963" s="245"/>
      <c r="E963" s="723"/>
      <c r="F963" s="715"/>
      <c r="G963" s="210" t="s">
        <v>1400</v>
      </c>
      <c r="H963" s="211">
        <f>SUM(H926,H931,H933)</f>
        <v>79.400000000000006</v>
      </c>
      <c r="I963" s="309"/>
      <c r="J963" s="155"/>
      <c r="K963" s="161"/>
      <c r="L963" s="45"/>
      <c r="M963" s="133"/>
    </row>
    <row r="964" spans="1:13" ht="12.75" hidden="1" customHeight="1">
      <c r="A964" s="715">
        <v>7</v>
      </c>
      <c r="B964" s="718"/>
      <c r="C964" s="718"/>
      <c r="D964" s="245"/>
      <c r="E964" s="723"/>
      <c r="F964" s="715"/>
      <c r="G964" s="214" t="s">
        <v>1468</v>
      </c>
      <c r="H964" s="211">
        <v>0</v>
      </c>
      <c r="I964" s="309"/>
      <c r="J964" s="155"/>
      <c r="K964" s="161"/>
      <c r="L964" s="45"/>
      <c r="M964" s="133"/>
    </row>
    <row r="965" spans="1:13" ht="12.75" hidden="1" customHeight="1">
      <c r="A965" s="715">
        <v>7</v>
      </c>
      <c r="B965" s="718"/>
      <c r="C965" s="718"/>
      <c r="D965" s="245"/>
      <c r="E965" s="723"/>
      <c r="F965" s="715"/>
      <c r="G965" s="301" t="s">
        <v>257</v>
      </c>
      <c r="H965" s="301">
        <f>SUM(H955:H964)</f>
        <v>2531.6</v>
      </c>
      <c r="I965" s="309"/>
      <c r="J965" s="155"/>
      <c r="K965" s="161"/>
      <c r="L965" s="45"/>
      <c r="M965" s="133"/>
    </row>
    <row r="966" spans="1:13" ht="12.75" hidden="1" customHeight="1">
      <c r="A966" s="715">
        <v>7</v>
      </c>
      <c r="B966" s="718"/>
      <c r="C966" s="718"/>
      <c r="D966" s="245"/>
      <c r="E966" s="723"/>
      <c r="F966" s="715"/>
      <c r="G966" s="723"/>
      <c r="H966" s="211">
        <f>H954-H965</f>
        <v>0</v>
      </c>
      <c r="I966" s="309"/>
      <c r="J966" s="155"/>
      <c r="K966" s="161"/>
      <c r="L966" s="45"/>
      <c r="M966" s="133"/>
    </row>
    <row r="967" spans="1:13" ht="12.75" customHeight="1">
      <c r="A967" s="946"/>
      <c r="B967" s="946"/>
      <c r="C967" s="946"/>
      <c r="D967" s="946" t="s">
        <v>2094</v>
      </c>
      <c r="E967" s="947"/>
      <c r="F967" s="946"/>
      <c r="G967" s="946"/>
      <c r="H967" s="946"/>
      <c r="I967" s="946"/>
      <c r="J967" s="946"/>
      <c r="K967" s="946"/>
      <c r="L967" s="946"/>
      <c r="M967" s="948"/>
    </row>
    <row r="968" spans="1:13" ht="20.399999999999999">
      <c r="A968" s="755">
        <v>8</v>
      </c>
      <c r="B968" s="305"/>
      <c r="C968" s="305"/>
      <c r="D968" s="306" t="s">
        <v>1562</v>
      </c>
      <c r="E968" s="713"/>
      <c r="F968" s="305"/>
      <c r="G968" s="308"/>
      <c r="H968" s="714"/>
      <c r="I968" s="309"/>
      <c r="J968" s="155"/>
      <c r="K968" s="161"/>
      <c r="L968" s="45"/>
      <c r="M968" s="66"/>
    </row>
    <row r="969" spans="1:13" ht="30.6">
      <c r="A969" s="755">
        <v>8</v>
      </c>
      <c r="B969" s="386" t="s">
        <v>1564</v>
      </c>
      <c r="C969" s="386" t="s">
        <v>1564</v>
      </c>
      <c r="D969" s="756" t="s">
        <v>1565</v>
      </c>
      <c r="E969" s="442" t="s">
        <v>47</v>
      </c>
      <c r="F969" s="309" t="s">
        <v>1566</v>
      </c>
      <c r="G969" s="309" t="s">
        <v>19</v>
      </c>
      <c r="H969" s="219">
        <v>1280</v>
      </c>
      <c r="I969" s="309" t="s">
        <v>49</v>
      </c>
      <c r="J969" s="787" t="s">
        <v>1567</v>
      </c>
      <c r="K969" s="787" t="s">
        <v>1568</v>
      </c>
      <c r="L969" s="45">
        <v>29</v>
      </c>
      <c r="M969" s="138"/>
    </row>
    <row r="970" spans="1:13" ht="24" customHeight="1">
      <c r="A970" s="210">
        <v>8</v>
      </c>
      <c r="B970" s="386"/>
      <c r="C970" s="386"/>
      <c r="D970" s="209"/>
      <c r="E970" s="442" t="s">
        <v>47</v>
      </c>
      <c r="F970" s="309" t="s">
        <v>1566</v>
      </c>
      <c r="G970" s="210" t="s">
        <v>259</v>
      </c>
      <c r="H970" s="219">
        <v>1161</v>
      </c>
      <c r="I970" s="309"/>
      <c r="J970" s="787" t="s">
        <v>1567</v>
      </c>
      <c r="K970" s="787" t="s">
        <v>1569</v>
      </c>
      <c r="L970" s="45">
        <v>92</v>
      </c>
      <c r="M970" s="138"/>
    </row>
    <row r="971" spans="1:13" ht="13.2">
      <c r="A971" s="755">
        <v>8</v>
      </c>
      <c r="B971" s="386"/>
      <c r="C971" s="386"/>
      <c r="D971" s="209"/>
      <c r="E971" s="442"/>
      <c r="F971" s="309"/>
      <c r="G971" s="314" t="s">
        <v>257</v>
      </c>
      <c r="H971" s="220">
        <f>SUM(H969:H970)</f>
        <v>2441</v>
      </c>
      <c r="I971" s="309"/>
      <c r="J971" s="867"/>
      <c r="K971" s="787"/>
      <c r="L971" s="45"/>
      <c r="M971" s="138"/>
    </row>
    <row r="972" spans="1:13" ht="30.6" customHeight="1">
      <c r="A972" s="755">
        <v>8</v>
      </c>
      <c r="B972" s="386" t="s">
        <v>1570</v>
      </c>
      <c r="C972" s="386" t="s">
        <v>1570</v>
      </c>
      <c r="D972" s="756" t="s">
        <v>1571</v>
      </c>
      <c r="E972" s="442" t="s">
        <v>1572</v>
      </c>
      <c r="F972" s="210" t="s">
        <v>1573</v>
      </c>
      <c r="G972" s="210" t="s">
        <v>19</v>
      </c>
      <c r="H972" s="219">
        <v>494</v>
      </c>
      <c r="I972" s="309" t="s">
        <v>49</v>
      </c>
      <c r="J972" s="161" t="s">
        <v>2108</v>
      </c>
      <c r="K972" s="161" t="s">
        <v>2110</v>
      </c>
      <c r="L972" s="45">
        <v>1</v>
      </c>
      <c r="M972" s="138"/>
    </row>
    <row r="973" spans="1:13" ht="13.2">
      <c r="A973" s="210">
        <v>8</v>
      </c>
      <c r="B973" s="386"/>
      <c r="C973" s="386"/>
      <c r="D973" s="209"/>
      <c r="E973" s="442" t="s">
        <v>1572</v>
      </c>
      <c r="F973" s="210" t="s">
        <v>1573</v>
      </c>
      <c r="G973" s="210" t="s">
        <v>259</v>
      </c>
      <c r="H973" s="219">
        <v>30</v>
      </c>
      <c r="I973" s="309"/>
      <c r="J973" s="155"/>
      <c r="K973" s="161"/>
      <c r="L973" s="45"/>
      <c r="M973" s="138"/>
    </row>
    <row r="974" spans="1:13" ht="13.2">
      <c r="A974" s="210">
        <v>8</v>
      </c>
      <c r="B974" s="386"/>
      <c r="C974" s="386"/>
      <c r="D974" s="209"/>
      <c r="E974" s="442"/>
      <c r="F974" s="210"/>
      <c r="G974" s="314" t="s">
        <v>257</v>
      </c>
      <c r="H974" s="220">
        <f>SUM(H972:H973)</f>
        <v>524</v>
      </c>
      <c r="I974" s="309"/>
      <c r="J974" s="155"/>
      <c r="K974" s="161"/>
      <c r="L974" s="45"/>
      <c r="M974" s="138"/>
    </row>
    <row r="975" spans="1:13" ht="20.399999999999999">
      <c r="A975" s="210">
        <v>8</v>
      </c>
      <c r="B975" s="386" t="s">
        <v>1574</v>
      </c>
      <c r="C975" s="386" t="s">
        <v>1574</v>
      </c>
      <c r="D975" s="756" t="s">
        <v>1575</v>
      </c>
      <c r="E975" s="442" t="s">
        <v>1576</v>
      </c>
      <c r="F975" s="210" t="s">
        <v>1577</v>
      </c>
      <c r="G975" s="210" t="s">
        <v>19</v>
      </c>
      <c r="H975" s="219">
        <f>48.2</f>
        <v>48.2</v>
      </c>
      <c r="I975" s="309" t="s">
        <v>49</v>
      </c>
      <c r="J975" s="161" t="s">
        <v>2109</v>
      </c>
      <c r="K975" s="161" t="s">
        <v>2110</v>
      </c>
      <c r="L975" s="45">
        <v>1</v>
      </c>
      <c r="M975" s="138"/>
    </row>
    <row r="976" spans="1:13" ht="13.2">
      <c r="A976" s="210">
        <v>8</v>
      </c>
      <c r="B976" s="386"/>
      <c r="C976" s="386"/>
      <c r="D976" s="209"/>
      <c r="E976" s="442" t="s">
        <v>1576</v>
      </c>
      <c r="F976" s="210" t="s">
        <v>1577</v>
      </c>
      <c r="G976" s="210" t="s">
        <v>259</v>
      </c>
      <c r="H976" s="219">
        <v>350</v>
      </c>
      <c r="I976" s="309"/>
      <c r="J976" s="155"/>
      <c r="K976" s="161"/>
      <c r="L976" s="45"/>
      <c r="M976" s="138"/>
    </row>
    <row r="977" spans="1:13" ht="13.2">
      <c r="A977" s="210">
        <v>8</v>
      </c>
      <c r="B977" s="386"/>
      <c r="C977" s="386"/>
      <c r="D977" s="209"/>
      <c r="E977" s="442"/>
      <c r="F977" s="210"/>
      <c r="G977" s="314" t="s">
        <v>257</v>
      </c>
      <c r="H977" s="220">
        <f>SUM(H975:H976)</f>
        <v>398.2</v>
      </c>
      <c r="I977" s="309"/>
      <c r="J977" s="155"/>
      <c r="K977" s="161"/>
      <c r="L977" s="45"/>
      <c r="M977" s="138"/>
    </row>
    <row r="978" spans="1:13" ht="20.399999999999999">
      <c r="A978" s="210">
        <v>8</v>
      </c>
      <c r="B978" s="386" t="s">
        <v>1578</v>
      </c>
      <c r="C978" s="386" t="s">
        <v>1578</v>
      </c>
      <c r="D978" s="756" t="s">
        <v>1579</v>
      </c>
      <c r="E978" s="274">
        <v>11</v>
      </c>
      <c r="F978" s="210" t="s">
        <v>1580</v>
      </c>
      <c r="G978" s="210" t="s">
        <v>19</v>
      </c>
      <c r="H978" s="219">
        <v>20</v>
      </c>
      <c r="I978" s="309" t="s">
        <v>64</v>
      </c>
      <c r="J978" s="787" t="s">
        <v>2096</v>
      </c>
      <c r="K978" s="787" t="s">
        <v>1581</v>
      </c>
      <c r="L978" s="45">
        <v>6</v>
      </c>
      <c r="M978" s="138"/>
    </row>
    <row r="979" spans="1:13" ht="12.75" customHeight="1">
      <c r="A979" s="755">
        <v>8</v>
      </c>
      <c r="B979" s="386"/>
      <c r="C979" s="386"/>
      <c r="D979" s="826"/>
      <c r="E979" s="274"/>
      <c r="F979" s="210"/>
      <c r="G979" s="314" t="s">
        <v>257</v>
      </c>
      <c r="H979" s="220">
        <f>SUM(H978)</f>
        <v>20</v>
      </c>
      <c r="I979" s="309"/>
      <c r="J979" s="155"/>
      <c r="K979" s="161"/>
      <c r="L979" s="45"/>
      <c r="M979" s="138"/>
    </row>
    <row r="980" spans="1:13" ht="20.399999999999999">
      <c r="A980" s="210">
        <v>8</v>
      </c>
      <c r="B980" s="316"/>
      <c r="C980" s="316"/>
      <c r="D980" s="317" t="s">
        <v>1582</v>
      </c>
      <c r="E980" s="726"/>
      <c r="F980" s="316"/>
      <c r="G980" s="319"/>
      <c r="H980" s="318"/>
      <c r="I980" s="309"/>
      <c r="J980" s="155"/>
      <c r="K980" s="161"/>
      <c r="L980" s="45"/>
      <c r="M980" s="138"/>
    </row>
    <row r="981" spans="1:13" ht="20.399999999999999">
      <c r="A981" s="210">
        <v>8</v>
      </c>
      <c r="B981" s="310" t="s">
        <v>1583</v>
      </c>
      <c r="C981" s="310" t="s">
        <v>1583</v>
      </c>
      <c r="D981" s="315" t="s">
        <v>1584</v>
      </c>
      <c r="E981" s="442"/>
      <c r="F981" s="210"/>
      <c r="G981" s="386"/>
      <c r="H981" s="207"/>
      <c r="I981" s="309"/>
      <c r="J981" s="155"/>
      <c r="K981" s="161"/>
      <c r="L981" s="45"/>
      <c r="M981" s="138"/>
    </row>
    <row r="982" spans="1:13" ht="20.399999999999999">
      <c r="A982" s="210">
        <v>8</v>
      </c>
      <c r="B982" s="386" t="s">
        <v>1586</v>
      </c>
      <c r="C982" s="386" t="s">
        <v>1586</v>
      </c>
      <c r="D982" s="827" t="s">
        <v>1587</v>
      </c>
      <c r="E982" s="274" t="s">
        <v>1572</v>
      </c>
      <c r="F982" s="309" t="s">
        <v>1588</v>
      </c>
      <c r="G982" s="309" t="s">
        <v>19</v>
      </c>
      <c r="H982" s="219">
        <f>70+317.2</f>
        <v>387.2</v>
      </c>
      <c r="I982" s="309" t="s">
        <v>198</v>
      </c>
      <c r="J982" s="806" t="s">
        <v>2098</v>
      </c>
      <c r="K982" s="161" t="s">
        <v>2099</v>
      </c>
      <c r="L982" s="45">
        <v>32</v>
      </c>
      <c r="M982" s="138" t="s">
        <v>189</v>
      </c>
    </row>
    <row r="983" spans="1:13" ht="12.75" customHeight="1">
      <c r="A983" s="210">
        <v>8</v>
      </c>
      <c r="B983" s="386"/>
      <c r="C983" s="386"/>
      <c r="D983" s="827"/>
      <c r="E983" s="442" t="s">
        <v>1572</v>
      </c>
      <c r="F983" s="309" t="s">
        <v>1588</v>
      </c>
      <c r="G983" s="313" t="s">
        <v>259</v>
      </c>
      <c r="H983" s="219">
        <v>200</v>
      </c>
      <c r="I983" s="309"/>
      <c r="J983" s="155"/>
      <c r="K983" s="161"/>
      <c r="L983" s="45"/>
      <c r="M983" s="138"/>
    </row>
    <row r="984" spans="1:13" ht="12.75" customHeight="1">
      <c r="A984" s="210">
        <v>8</v>
      </c>
      <c r="B984" s="386"/>
      <c r="C984" s="386"/>
      <c r="D984" s="24"/>
      <c r="E984" s="274"/>
      <c r="F984" s="309"/>
      <c r="G984" s="314" t="s">
        <v>257</v>
      </c>
      <c r="H984" s="220">
        <f>SUM(H982:H983)</f>
        <v>587.20000000000005</v>
      </c>
      <c r="I984" s="309"/>
      <c r="J984" s="155"/>
      <c r="K984" s="161"/>
      <c r="L984" s="45"/>
      <c r="M984" s="138"/>
    </row>
    <row r="985" spans="1:13" ht="20.399999999999999">
      <c r="A985" s="210">
        <v>8</v>
      </c>
      <c r="B985" s="310" t="s">
        <v>1589</v>
      </c>
      <c r="C985" s="310" t="s">
        <v>1589</v>
      </c>
      <c r="D985" s="315" t="s">
        <v>1590</v>
      </c>
      <c r="E985" s="442" t="s">
        <v>62</v>
      </c>
      <c r="F985" s="757" t="s">
        <v>1591</v>
      </c>
      <c r="G985" s="309" t="s">
        <v>19</v>
      </c>
      <c r="H985" s="219">
        <v>1272</v>
      </c>
      <c r="I985" s="309" t="s">
        <v>182</v>
      </c>
      <c r="J985" s="161" t="s">
        <v>2097</v>
      </c>
      <c r="K985" s="161" t="s">
        <v>1592</v>
      </c>
      <c r="L985" s="45">
        <v>100</v>
      </c>
      <c r="M985" s="139" t="s">
        <v>67</v>
      </c>
    </row>
    <row r="986" spans="1:13" ht="12.75" customHeight="1">
      <c r="A986" s="210">
        <v>8</v>
      </c>
      <c r="B986" s="386"/>
      <c r="C986" s="386"/>
      <c r="D986" s="25"/>
      <c r="E986" s="442" t="s">
        <v>62</v>
      </c>
      <c r="F986" s="757" t="s">
        <v>1591</v>
      </c>
      <c r="G986" s="309" t="s">
        <v>75</v>
      </c>
      <c r="H986" s="219">
        <f>1272-1272</f>
        <v>0</v>
      </c>
      <c r="I986" s="309" t="s">
        <v>182</v>
      </c>
      <c r="J986" s="155"/>
      <c r="K986" s="161"/>
      <c r="L986" s="45"/>
      <c r="M986" s="139" t="s">
        <v>67</v>
      </c>
    </row>
    <row r="987" spans="1:13" ht="12.75" customHeight="1">
      <c r="A987" s="755">
        <v>8</v>
      </c>
      <c r="B987" s="386"/>
      <c r="C987" s="386"/>
      <c r="D987" s="25"/>
      <c r="E987" s="442" t="s">
        <v>62</v>
      </c>
      <c r="F987" s="757" t="s">
        <v>1591</v>
      </c>
      <c r="G987" s="210" t="s">
        <v>178</v>
      </c>
      <c r="H987" s="219">
        <f>2000+1000-300-160-690-1850</f>
        <v>0</v>
      </c>
      <c r="I987" s="309" t="s">
        <v>182</v>
      </c>
      <c r="J987" s="155"/>
      <c r="K987" s="161"/>
      <c r="L987" s="45"/>
      <c r="M987" s="139" t="s">
        <v>67</v>
      </c>
    </row>
    <row r="988" spans="1:13" ht="12.75" customHeight="1">
      <c r="A988" s="210">
        <v>8</v>
      </c>
      <c r="B988" s="386"/>
      <c r="C988" s="386"/>
      <c r="D988" s="25"/>
      <c r="E988" s="442" t="s">
        <v>62</v>
      </c>
      <c r="F988" s="757" t="s">
        <v>1591</v>
      </c>
      <c r="G988" s="309" t="s">
        <v>437</v>
      </c>
      <c r="H988" s="219"/>
      <c r="I988" s="309" t="s">
        <v>182</v>
      </c>
      <c r="J988" s="155"/>
      <c r="K988" s="161"/>
      <c r="L988" s="45"/>
      <c r="M988" s="139" t="s">
        <v>67</v>
      </c>
    </row>
    <row r="989" spans="1:13" ht="12.75" customHeight="1">
      <c r="A989" s="755">
        <v>8</v>
      </c>
      <c r="B989" s="386"/>
      <c r="C989" s="386"/>
      <c r="D989" s="25"/>
      <c r="E989" s="442" t="s">
        <v>62</v>
      </c>
      <c r="F989" s="757" t="s">
        <v>1591</v>
      </c>
      <c r="G989" s="309" t="s">
        <v>258</v>
      </c>
      <c r="H989" s="219">
        <f>1500-228-1272</f>
        <v>0</v>
      </c>
      <c r="I989" s="309" t="s">
        <v>182</v>
      </c>
      <c r="J989" s="155"/>
      <c r="K989" s="161"/>
      <c r="L989" s="45"/>
      <c r="M989" s="139" t="s">
        <v>67</v>
      </c>
    </row>
    <row r="990" spans="1:13" ht="12.75" customHeight="1">
      <c r="A990" s="210">
        <v>8</v>
      </c>
      <c r="B990" s="386"/>
      <c r="C990" s="386"/>
      <c r="D990" s="25"/>
      <c r="E990" s="442" t="s">
        <v>62</v>
      </c>
      <c r="F990" s="757" t="s">
        <v>1591</v>
      </c>
      <c r="G990" s="309" t="s">
        <v>21</v>
      </c>
      <c r="H990" s="219"/>
      <c r="I990" s="309" t="s">
        <v>182</v>
      </c>
      <c r="J990" s="155"/>
      <c r="K990" s="161"/>
      <c r="L990" s="45"/>
      <c r="M990" s="139" t="s">
        <v>67</v>
      </c>
    </row>
    <row r="991" spans="1:13" ht="12.75" customHeight="1">
      <c r="A991" s="210">
        <v>8</v>
      </c>
      <c r="B991" s="386"/>
      <c r="C991" s="386"/>
      <c r="D991" s="25"/>
      <c r="E991" s="442"/>
      <c r="F991" s="757"/>
      <c r="G991" s="314" t="s">
        <v>257</v>
      </c>
      <c r="H991" s="220">
        <f>SUM(H985:H990)</f>
        <v>1272</v>
      </c>
      <c r="I991" s="309" t="s">
        <v>182</v>
      </c>
      <c r="J991" s="155"/>
      <c r="K991" s="161"/>
      <c r="L991" s="45"/>
      <c r="M991" s="139"/>
    </row>
    <row r="992" spans="1:13" ht="12.75" hidden="1" customHeight="1">
      <c r="A992" s="210">
        <v>8</v>
      </c>
      <c r="B992" s="386"/>
      <c r="C992" s="386"/>
      <c r="D992" s="25"/>
      <c r="E992" s="442"/>
      <c r="F992" s="757"/>
      <c r="G992" s="301" t="s">
        <v>257</v>
      </c>
      <c r="H992" s="301">
        <f>SUM(H971,H974,H977,H979,H984,H991)</f>
        <v>5242.3999999999996</v>
      </c>
      <c r="I992" s="309"/>
      <c r="J992" s="155"/>
      <c r="K992" s="161"/>
      <c r="L992" s="45"/>
      <c r="M992" s="139"/>
    </row>
    <row r="993" spans="1:13" ht="12.75" hidden="1" customHeight="1">
      <c r="A993" s="210">
        <v>8</v>
      </c>
      <c r="B993" s="386"/>
      <c r="C993" s="386"/>
      <c r="D993" s="25"/>
      <c r="E993" s="442"/>
      <c r="F993" s="757"/>
      <c r="G993" s="210" t="s">
        <v>19</v>
      </c>
      <c r="H993" s="211">
        <f>SUM(H969,H972,H975,H978,H982,H985)</f>
        <v>3501.4</v>
      </c>
      <c r="I993" s="309"/>
      <c r="J993" s="155"/>
      <c r="K993" s="161"/>
      <c r="L993" s="45"/>
      <c r="M993" s="139"/>
    </row>
    <row r="994" spans="1:13" ht="12.75" hidden="1" customHeight="1">
      <c r="A994" s="210">
        <v>8</v>
      </c>
      <c r="B994" s="386"/>
      <c r="C994" s="386"/>
      <c r="D994" s="25"/>
      <c r="E994" s="442"/>
      <c r="F994" s="757"/>
      <c r="G994" s="210" t="s">
        <v>22</v>
      </c>
      <c r="H994" s="212"/>
      <c r="I994" s="309"/>
      <c r="J994" s="155"/>
      <c r="K994" s="161"/>
      <c r="L994" s="45"/>
      <c r="M994" s="139"/>
    </row>
    <row r="995" spans="1:13" ht="12.75" hidden="1" customHeight="1">
      <c r="A995" s="210">
        <v>8</v>
      </c>
      <c r="B995" s="386"/>
      <c r="C995" s="386"/>
      <c r="D995" s="25"/>
      <c r="E995" s="442"/>
      <c r="F995" s="757"/>
      <c r="G995" s="210" t="s">
        <v>259</v>
      </c>
      <c r="H995" s="212">
        <f>SUM(H970,H973,H976,H983)</f>
        <v>1741</v>
      </c>
      <c r="I995" s="309"/>
      <c r="J995" s="155"/>
      <c r="K995" s="161"/>
      <c r="L995" s="45"/>
      <c r="M995" s="139"/>
    </row>
    <row r="996" spans="1:13" ht="12.75" hidden="1" customHeight="1">
      <c r="A996" s="755">
        <v>8</v>
      </c>
      <c r="B996" s="386"/>
      <c r="C996" s="386"/>
      <c r="D996" s="25"/>
      <c r="E996" s="442"/>
      <c r="F996" s="757"/>
      <c r="G996" s="415" t="s">
        <v>56</v>
      </c>
      <c r="H996" s="212"/>
      <c r="I996" s="309"/>
      <c r="J996" s="155"/>
      <c r="K996" s="161"/>
      <c r="L996" s="45"/>
      <c r="M996" s="139"/>
    </row>
    <row r="997" spans="1:13" ht="12.75" hidden="1" customHeight="1">
      <c r="A997" s="210">
        <v>8</v>
      </c>
      <c r="B997" s="386"/>
      <c r="C997" s="386"/>
      <c r="D997" s="25"/>
      <c r="E997" s="442"/>
      <c r="F997" s="757"/>
      <c r="G997" s="415" t="s">
        <v>59</v>
      </c>
      <c r="H997" s="212"/>
      <c r="I997" s="309"/>
      <c r="J997" s="155"/>
      <c r="K997" s="161"/>
      <c r="L997" s="45"/>
      <c r="M997" s="139"/>
    </row>
    <row r="998" spans="1:13" ht="12.75" hidden="1" customHeight="1">
      <c r="A998" s="755">
        <v>8</v>
      </c>
      <c r="B998" s="386"/>
      <c r="C998" s="386"/>
      <c r="D998" s="25"/>
      <c r="E998" s="442"/>
      <c r="F998" s="757"/>
      <c r="G998" s="210" t="s">
        <v>21</v>
      </c>
      <c r="H998" s="211">
        <f>SUM(H990)</f>
        <v>0</v>
      </c>
      <c r="I998" s="309"/>
      <c r="J998" s="155"/>
      <c r="K998" s="161"/>
      <c r="L998" s="45"/>
      <c r="M998" s="139"/>
    </row>
    <row r="999" spans="1:13" ht="12.75" hidden="1" customHeight="1">
      <c r="A999" s="755">
        <v>8</v>
      </c>
      <c r="B999" s="386"/>
      <c r="C999" s="386"/>
      <c r="D999" s="25"/>
      <c r="E999" s="442"/>
      <c r="F999" s="757"/>
      <c r="G999" s="210" t="s">
        <v>258</v>
      </c>
      <c r="H999" s="212">
        <f>SUM(H989)</f>
        <v>0</v>
      </c>
      <c r="I999" s="309"/>
      <c r="J999" s="155"/>
      <c r="K999" s="161"/>
      <c r="L999" s="45"/>
      <c r="M999" s="139"/>
    </row>
    <row r="1000" spans="1:13" ht="12.75" hidden="1" customHeight="1">
      <c r="A1000" s="210">
        <v>8</v>
      </c>
      <c r="B1000" s="386"/>
      <c r="C1000" s="386"/>
      <c r="D1000" s="25"/>
      <c r="E1000" s="442"/>
      <c r="F1000" s="757"/>
      <c r="G1000" s="210" t="s">
        <v>437</v>
      </c>
      <c r="H1000" s="212">
        <f>H988</f>
        <v>0</v>
      </c>
      <c r="I1000" s="309"/>
      <c r="J1000" s="155"/>
      <c r="K1000" s="161"/>
      <c r="L1000" s="45"/>
      <c r="M1000" s="139"/>
    </row>
    <row r="1001" spans="1:13" ht="12.75" hidden="1" customHeight="1">
      <c r="A1001" s="210">
        <v>8</v>
      </c>
      <c r="B1001" s="386"/>
      <c r="C1001" s="386"/>
      <c r="D1001" s="25"/>
      <c r="E1001" s="442"/>
      <c r="F1001" s="757"/>
      <c r="G1001" s="210" t="s">
        <v>75</v>
      </c>
      <c r="H1001" s="212">
        <f>H986</f>
        <v>0</v>
      </c>
      <c r="I1001" s="309"/>
      <c r="J1001" s="155"/>
      <c r="K1001" s="161"/>
      <c r="L1001" s="45"/>
      <c r="M1001" s="139"/>
    </row>
    <row r="1002" spans="1:13" ht="12.75" hidden="1" customHeight="1">
      <c r="A1002" s="210">
        <v>8</v>
      </c>
      <c r="B1002" s="386"/>
      <c r="C1002" s="386"/>
      <c r="D1002" s="25"/>
      <c r="E1002" s="442"/>
      <c r="F1002" s="757"/>
      <c r="G1002" s="210" t="s">
        <v>178</v>
      </c>
      <c r="H1002" s="212">
        <f>SUM(H987)</f>
        <v>0</v>
      </c>
      <c r="I1002" s="309"/>
      <c r="J1002" s="155"/>
      <c r="K1002" s="161"/>
      <c r="L1002" s="45"/>
      <c r="M1002" s="139"/>
    </row>
    <row r="1003" spans="1:13" ht="12.75" hidden="1" customHeight="1">
      <c r="A1003" s="210">
        <v>8</v>
      </c>
      <c r="B1003" s="386"/>
      <c r="C1003" s="386"/>
      <c r="D1003" s="25"/>
      <c r="E1003" s="442"/>
      <c r="F1003" s="757"/>
      <c r="G1003" s="301" t="s">
        <v>257</v>
      </c>
      <c r="H1003" s="301">
        <f>SUM(H993:H1002)</f>
        <v>5242.3999999999996</v>
      </c>
      <c r="I1003" s="309"/>
      <c r="J1003" s="155"/>
      <c r="K1003" s="161"/>
      <c r="L1003" s="45"/>
      <c r="M1003" s="139"/>
    </row>
    <row r="1004" spans="1:13" ht="12.75" hidden="1" customHeight="1">
      <c r="A1004" s="210">
        <v>8</v>
      </c>
      <c r="B1004" s="386"/>
      <c r="C1004" s="386"/>
      <c r="D1004" s="25"/>
      <c r="E1004" s="442"/>
      <c r="F1004" s="757"/>
      <c r="G1004" s="210"/>
      <c r="H1004" s="211">
        <f>H992-H1003</f>
        <v>0</v>
      </c>
      <c r="I1004" s="309"/>
      <c r="J1004" s="155"/>
      <c r="K1004" s="161"/>
      <c r="L1004" s="45"/>
      <c r="M1004" s="139"/>
    </row>
    <row r="1005" spans="1:13" ht="12.75" customHeight="1">
      <c r="A1005" s="946"/>
      <c r="B1005" s="946"/>
      <c r="C1005" s="946"/>
      <c r="D1005" s="946" t="s">
        <v>2095</v>
      </c>
      <c r="E1005" s="947"/>
      <c r="F1005" s="946"/>
      <c r="G1005" s="946"/>
      <c r="H1005" s="946"/>
      <c r="I1005" s="946"/>
      <c r="J1005" s="946"/>
      <c r="K1005" s="946"/>
      <c r="L1005" s="946"/>
      <c r="M1005" s="948"/>
    </row>
    <row r="1006" spans="1:13" ht="27.6" customHeight="1">
      <c r="A1006" s="819">
        <v>9</v>
      </c>
      <c r="B1006" s="758"/>
      <c r="C1006" s="758"/>
      <c r="D1006" s="759" t="s">
        <v>1593</v>
      </c>
      <c r="E1006" s="713"/>
      <c r="F1006" s="307"/>
      <c r="G1006" s="305"/>
      <c r="H1006" s="307"/>
      <c r="I1006" s="716"/>
      <c r="J1006" s="140"/>
      <c r="K1006" s="161"/>
      <c r="L1006" s="45"/>
      <c r="M1006" s="58"/>
    </row>
    <row r="1007" spans="1:13" ht="24" customHeight="1">
      <c r="A1007" s="819">
        <v>9</v>
      </c>
      <c r="B1007" s="760" t="s">
        <v>1594</v>
      </c>
      <c r="C1007" s="760" t="s">
        <v>1594</v>
      </c>
      <c r="D1007" s="761" t="s">
        <v>1595</v>
      </c>
      <c r="E1007" s="762">
        <v>6</v>
      </c>
      <c r="F1007" s="828" t="s">
        <v>1596</v>
      </c>
      <c r="G1007" s="207" t="s">
        <v>1597</v>
      </c>
      <c r="H1007" s="207">
        <f>SUM(H1010:H1013)</f>
        <v>1059.0999999999999</v>
      </c>
      <c r="I1007" s="309" t="s">
        <v>20</v>
      </c>
      <c r="J1007" s="829"/>
      <c r="K1007" s="161"/>
      <c r="L1007" s="45"/>
      <c r="M1007" s="830"/>
    </row>
    <row r="1008" spans="1:13" ht="28.2" customHeight="1">
      <c r="A1008" s="819">
        <v>9</v>
      </c>
      <c r="B1008" s="831"/>
      <c r="C1008" s="819"/>
      <c r="D1008" s="832"/>
      <c r="E1008" s="828">
        <v>6</v>
      </c>
      <c r="F1008" s="828" t="s">
        <v>1596</v>
      </c>
      <c r="G1008" s="207" t="s">
        <v>1598</v>
      </c>
      <c r="H1008" s="207">
        <f>H1014</f>
        <v>0</v>
      </c>
      <c r="I1008" s="309"/>
      <c r="J1008" s="829"/>
      <c r="K1008" s="161"/>
      <c r="L1008" s="45"/>
      <c r="M1008" s="830"/>
    </row>
    <row r="1009" spans="1:13" ht="12.75" customHeight="1">
      <c r="A1009" s="819">
        <v>9</v>
      </c>
      <c r="B1009" s="831"/>
      <c r="C1009" s="819"/>
      <c r="D1009" s="832"/>
      <c r="E1009" s="828">
        <v>6</v>
      </c>
      <c r="F1009" s="828" t="s">
        <v>1596</v>
      </c>
      <c r="G1009" s="763" t="s">
        <v>24</v>
      </c>
      <c r="H1009" s="764">
        <f>SUM(H1007:H1008)</f>
        <v>1059.0999999999999</v>
      </c>
      <c r="I1009" s="309"/>
      <c r="J1009" s="829"/>
      <c r="K1009" s="161"/>
      <c r="L1009" s="45"/>
      <c r="M1009" s="830"/>
    </row>
    <row r="1010" spans="1:13" ht="21.75" customHeight="1">
      <c r="A1010" s="819">
        <v>9</v>
      </c>
      <c r="B1010" s="831"/>
      <c r="C1010" s="819" t="s">
        <v>1599</v>
      </c>
      <c r="D1010" s="832" t="s">
        <v>1600</v>
      </c>
      <c r="E1010" s="833">
        <v>6</v>
      </c>
      <c r="F1010" s="828" t="s">
        <v>1596</v>
      </c>
      <c r="G1010" s="834" t="s">
        <v>19</v>
      </c>
      <c r="H1010" s="219">
        <v>279.7</v>
      </c>
      <c r="I1010" s="309"/>
      <c r="J1010" s="829" t="s">
        <v>1601</v>
      </c>
      <c r="K1010" s="829" t="s">
        <v>90</v>
      </c>
      <c r="L1010" s="835">
        <v>100</v>
      </c>
      <c r="M1010" s="830"/>
    </row>
    <row r="1011" spans="1:13" ht="23.25" customHeight="1">
      <c r="A1011" s="819">
        <v>9</v>
      </c>
      <c r="B1011" s="831"/>
      <c r="C1011" s="819" t="s">
        <v>1602</v>
      </c>
      <c r="D1011" s="832" t="s">
        <v>1603</v>
      </c>
      <c r="E1011" s="833">
        <v>6</v>
      </c>
      <c r="F1011" s="828" t="s">
        <v>1596</v>
      </c>
      <c r="G1011" s="834" t="s">
        <v>19</v>
      </c>
      <c r="H1011" s="219">
        <v>278.89999999999998</v>
      </c>
      <c r="I1011" s="309"/>
      <c r="J1011" s="829" t="s">
        <v>1601</v>
      </c>
      <c r="K1011" s="829" t="s">
        <v>90</v>
      </c>
      <c r="L1011" s="835">
        <v>100</v>
      </c>
      <c r="M1011" s="830"/>
    </row>
    <row r="1012" spans="1:13" ht="12.75" customHeight="1">
      <c r="A1012" s="819">
        <v>9</v>
      </c>
      <c r="B1012" s="831"/>
      <c r="C1012" s="819" t="s">
        <v>1604</v>
      </c>
      <c r="D1012" s="832" t="s">
        <v>1605</v>
      </c>
      <c r="E1012" s="833">
        <v>6</v>
      </c>
      <c r="F1012" s="828" t="s">
        <v>1596</v>
      </c>
      <c r="G1012" s="834" t="s">
        <v>19</v>
      </c>
      <c r="H1012" s="219">
        <v>58.2</v>
      </c>
      <c r="I1012" s="309"/>
      <c r="J1012" s="829" t="s">
        <v>1606</v>
      </c>
      <c r="K1012" s="829" t="s">
        <v>90</v>
      </c>
      <c r="L1012" s="835">
        <v>100</v>
      </c>
      <c r="M1012" s="830"/>
    </row>
    <row r="1013" spans="1:13" ht="12.75" customHeight="1">
      <c r="A1013" s="819">
        <v>9</v>
      </c>
      <c r="B1013" s="831"/>
      <c r="C1013" s="819" t="s">
        <v>1607</v>
      </c>
      <c r="D1013" s="832" t="s">
        <v>1608</v>
      </c>
      <c r="E1013" s="833">
        <v>6</v>
      </c>
      <c r="F1013" s="828" t="s">
        <v>1596</v>
      </c>
      <c r="G1013" s="834" t="s">
        <v>19</v>
      </c>
      <c r="H1013" s="219">
        <v>442.3</v>
      </c>
      <c r="I1013" s="309"/>
      <c r="J1013" s="829" t="s">
        <v>1609</v>
      </c>
      <c r="K1013" s="829" t="s">
        <v>90</v>
      </c>
      <c r="L1013" s="835">
        <v>100</v>
      </c>
      <c r="M1013" s="830"/>
    </row>
    <row r="1014" spans="1:13" ht="12.75" customHeight="1">
      <c r="A1014" s="819">
        <v>9</v>
      </c>
      <c r="B1014" s="831"/>
      <c r="C1014" s="765" t="s">
        <v>1599</v>
      </c>
      <c r="D1014" s="832" t="s">
        <v>1600</v>
      </c>
      <c r="E1014" s="833">
        <v>6</v>
      </c>
      <c r="F1014" s="828" t="s">
        <v>1596</v>
      </c>
      <c r="G1014" s="834" t="s">
        <v>21</v>
      </c>
      <c r="H1014" s="219"/>
      <c r="I1014" s="309"/>
      <c r="J1014" s="829"/>
      <c r="K1014" s="161"/>
      <c r="L1014" s="45"/>
      <c r="M1014" s="830"/>
    </row>
    <row r="1015" spans="1:13" ht="24" customHeight="1">
      <c r="A1015" s="819">
        <v>9</v>
      </c>
      <c r="B1015" s="760" t="s">
        <v>1610</v>
      </c>
      <c r="C1015" s="760" t="s">
        <v>1610</v>
      </c>
      <c r="D1015" s="761" t="s">
        <v>1611</v>
      </c>
      <c r="E1015" s="833"/>
      <c r="F1015" s="828"/>
      <c r="G1015" s="207" t="s">
        <v>1597</v>
      </c>
      <c r="H1015" s="207">
        <f>SUM(H1024:H1031,H1033:H1038,H1040,H1042:H1043,H1045,H1047:H1048,H1018:H1022,H1049)</f>
        <v>12240.7</v>
      </c>
      <c r="I1015" s="309" t="s">
        <v>20</v>
      </c>
      <c r="J1015" s="829"/>
      <c r="K1015" s="161"/>
      <c r="L1015" s="45"/>
      <c r="M1015" s="830"/>
    </row>
    <row r="1016" spans="1:13" ht="12.75" customHeight="1">
      <c r="A1016" s="819">
        <v>9</v>
      </c>
      <c r="B1016" s="831"/>
      <c r="C1016" s="819"/>
      <c r="D1016" s="832"/>
      <c r="E1016" s="833"/>
      <c r="F1016" s="828"/>
      <c r="G1016" s="207" t="s">
        <v>1612</v>
      </c>
      <c r="H1016" s="207">
        <f>SUM(H1039,H1041,H1044,H1046,H1023)</f>
        <v>14.399999999999999</v>
      </c>
      <c r="I1016" s="309"/>
      <c r="J1016" s="829"/>
      <c r="K1016" s="161"/>
      <c r="L1016" s="45"/>
      <c r="M1016" s="830"/>
    </row>
    <row r="1017" spans="1:13" ht="12.75" customHeight="1">
      <c r="A1017" s="819">
        <v>9</v>
      </c>
      <c r="B1017" s="831"/>
      <c r="C1017" s="819"/>
      <c r="D1017" s="832"/>
      <c r="E1017" s="833"/>
      <c r="F1017" s="828"/>
      <c r="G1017" s="763" t="s">
        <v>257</v>
      </c>
      <c r="H1017" s="764">
        <f>SUM(H1015:H1016)</f>
        <v>12255.1</v>
      </c>
      <c r="I1017" s="309"/>
      <c r="J1017" s="829"/>
      <c r="K1017" s="161"/>
      <c r="L1017" s="45"/>
      <c r="M1017" s="830"/>
    </row>
    <row r="1018" spans="1:13" ht="29.25" customHeight="1">
      <c r="A1018" s="819">
        <v>9</v>
      </c>
      <c r="B1018" s="831"/>
      <c r="C1018" s="819" t="s">
        <v>1613</v>
      </c>
      <c r="D1018" s="832" t="s">
        <v>1614</v>
      </c>
      <c r="E1018" s="766">
        <v>6</v>
      </c>
      <c r="F1018" s="828" t="s">
        <v>1615</v>
      </c>
      <c r="G1018" s="834" t="s">
        <v>19</v>
      </c>
      <c r="H1018" s="219">
        <v>5884.1</v>
      </c>
      <c r="I1018" s="309"/>
      <c r="J1018" s="829" t="s">
        <v>1616</v>
      </c>
      <c r="K1018" s="829" t="s">
        <v>1617</v>
      </c>
      <c r="L1018" s="45"/>
      <c r="M1018" s="830"/>
    </row>
    <row r="1019" spans="1:13" ht="25.5" customHeight="1">
      <c r="A1019" s="819">
        <v>9</v>
      </c>
      <c r="B1019" s="831"/>
      <c r="C1019" s="819"/>
      <c r="D1019" s="836" t="s">
        <v>1618</v>
      </c>
      <c r="E1019" s="214">
        <v>6</v>
      </c>
      <c r="F1019" s="819" t="s">
        <v>1619</v>
      </c>
      <c r="G1019" s="834" t="s">
        <v>19</v>
      </c>
      <c r="H1019" s="219">
        <v>200</v>
      </c>
      <c r="I1019" s="309"/>
      <c r="J1019" s="829" t="s">
        <v>1620</v>
      </c>
      <c r="K1019" s="829" t="s">
        <v>1621</v>
      </c>
      <c r="L1019" s="45"/>
      <c r="M1019" s="830"/>
    </row>
    <row r="1020" spans="1:13" ht="24" customHeight="1">
      <c r="A1020" s="819">
        <v>9</v>
      </c>
      <c r="B1020" s="831"/>
      <c r="C1020" s="819"/>
      <c r="D1020" s="767" t="s">
        <v>1622</v>
      </c>
      <c r="E1020" s="766">
        <v>3</v>
      </c>
      <c r="F1020" s="828" t="s">
        <v>1615</v>
      </c>
      <c r="G1020" s="834" t="s">
        <v>19</v>
      </c>
      <c r="H1020" s="219">
        <v>10</v>
      </c>
      <c r="I1020" s="309"/>
      <c r="J1020" s="829" t="s">
        <v>1623</v>
      </c>
      <c r="K1020" s="829" t="s">
        <v>1624</v>
      </c>
      <c r="L1020" s="45">
        <v>100</v>
      </c>
      <c r="M1020" s="830"/>
    </row>
    <row r="1021" spans="1:13" ht="12.75" customHeight="1">
      <c r="A1021" s="819">
        <v>9</v>
      </c>
      <c r="B1021" s="831"/>
      <c r="C1021" s="819"/>
      <c r="D1021" s="767" t="s">
        <v>1622</v>
      </c>
      <c r="E1021" s="766">
        <v>34</v>
      </c>
      <c r="F1021" s="828" t="s">
        <v>1615</v>
      </c>
      <c r="G1021" s="834" t="s">
        <v>19</v>
      </c>
      <c r="H1021" s="219">
        <v>310</v>
      </c>
      <c r="I1021" s="309"/>
      <c r="J1021" s="829" t="s">
        <v>1625</v>
      </c>
      <c r="K1021" s="829" t="s">
        <v>1626</v>
      </c>
      <c r="L1021" s="45"/>
      <c r="M1021" s="830"/>
    </row>
    <row r="1022" spans="1:13" ht="27" customHeight="1">
      <c r="A1022" s="819">
        <v>9</v>
      </c>
      <c r="B1022" s="831"/>
      <c r="C1022" s="819"/>
      <c r="D1022" s="767" t="s">
        <v>1622</v>
      </c>
      <c r="E1022" s="482">
        <v>6</v>
      </c>
      <c r="F1022" s="828" t="s">
        <v>1615</v>
      </c>
      <c r="G1022" s="834" t="s">
        <v>19</v>
      </c>
      <c r="H1022" s="219">
        <f>80</f>
        <v>80</v>
      </c>
      <c r="I1022" s="309"/>
      <c r="J1022" s="829" t="s">
        <v>1627</v>
      </c>
      <c r="K1022" s="829" t="s">
        <v>1628</v>
      </c>
      <c r="L1022" s="45"/>
      <c r="M1022" s="830"/>
    </row>
    <row r="1023" spans="1:13" ht="12.75" customHeight="1">
      <c r="A1023" s="819">
        <v>9</v>
      </c>
      <c r="B1023" s="831"/>
      <c r="C1023" s="819"/>
      <c r="D1023" s="767" t="s">
        <v>1622</v>
      </c>
      <c r="E1023" s="766">
        <v>6</v>
      </c>
      <c r="F1023" s="828" t="s">
        <v>1615</v>
      </c>
      <c r="G1023" s="834" t="s">
        <v>22</v>
      </c>
      <c r="H1023" s="219">
        <v>12.1</v>
      </c>
      <c r="I1023" s="309"/>
      <c r="J1023" s="829" t="s">
        <v>605</v>
      </c>
      <c r="K1023" s="829" t="s">
        <v>1628</v>
      </c>
      <c r="L1023" s="45"/>
      <c r="M1023" s="830"/>
    </row>
    <row r="1024" spans="1:13" ht="21" customHeight="1">
      <c r="A1024" s="819">
        <v>9</v>
      </c>
      <c r="B1024" s="831"/>
      <c r="C1024" s="819"/>
      <c r="D1024" s="767" t="s">
        <v>1629</v>
      </c>
      <c r="E1024" s="766">
        <v>6</v>
      </c>
      <c r="F1024" s="828" t="s">
        <v>1615</v>
      </c>
      <c r="G1024" s="834" t="s">
        <v>19</v>
      </c>
      <c r="H1024" s="219">
        <v>1626.2</v>
      </c>
      <c r="I1024" s="309"/>
      <c r="J1024" s="829" t="s">
        <v>1620</v>
      </c>
      <c r="K1024" s="829" t="s">
        <v>1630</v>
      </c>
      <c r="L1024" s="45"/>
      <c r="M1024" s="830"/>
    </row>
    <row r="1025" spans="1:13" ht="20.25" customHeight="1">
      <c r="A1025" s="819">
        <v>9</v>
      </c>
      <c r="B1025" s="831"/>
      <c r="C1025" s="819"/>
      <c r="D1025" s="767" t="s">
        <v>1631</v>
      </c>
      <c r="E1025" s="766">
        <v>6</v>
      </c>
      <c r="F1025" s="828" t="s">
        <v>1615</v>
      </c>
      <c r="G1025" s="834" t="s">
        <v>19</v>
      </c>
      <c r="H1025" s="219">
        <v>447.3</v>
      </c>
      <c r="I1025" s="309"/>
      <c r="J1025" s="829" t="s">
        <v>1620</v>
      </c>
      <c r="K1025" s="829" t="s">
        <v>1630</v>
      </c>
      <c r="L1025" s="45"/>
      <c r="M1025" s="830"/>
    </row>
    <row r="1026" spans="1:13" ht="21.75" customHeight="1">
      <c r="A1026" s="819">
        <v>9</v>
      </c>
      <c r="B1026" s="831"/>
      <c r="C1026" s="819"/>
      <c r="D1026" s="767" t="s">
        <v>1632</v>
      </c>
      <c r="E1026" s="766">
        <v>6</v>
      </c>
      <c r="F1026" s="828" t="s">
        <v>1615</v>
      </c>
      <c r="G1026" s="834" t="s">
        <v>19</v>
      </c>
      <c r="H1026" s="219">
        <v>43.2</v>
      </c>
      <c r="I1026" s="309"/>
      <c r="J1026" s="829" t="s">
        <v>1620</v>
      </c>
      <c r="K1026" s="829" t="s">
        <v>1630</v>
      </c>
      <c r="L1026" s="45"/>
      <c r="M1026" s="830"/>
    </row>
    <row r="1027" spans="1:13" ht="21" customHeight="1">
      <c r="A1027" s="819">
        <v>9</v>
      </c>
      <c r="B1027" s="831"/>
      <c r="C1027" s="819"/>
      <c r="D1027" s="767" t="s">
        <v>1633</v>
      </c>
      <c r="E1027" s="766">
        <v>6</v>
      </c>
      <c r="F1027" s="828" t="s">
        <v>1615</v>
      </c>
      <c r="G1027" s="834" t="s">
        <v>19</v>
      </c>
      <c r="H1027" s="219">
        <v>118.3</v>
      </c>
      <c r="I1027" s="309"/>
      <c r="J1027" s="829" t="s">
        <v>1620</v>
      </c>
      <c r="K1027" s="829" t="s">
        <v>1630</v>
      </c>
      <c r="L1027" s="45"/>
      <c r="M1027" s="830"/>
    </row>
    <row r="1028" spans="1:13" ht="23.25" customHeight="1">
      <c r="A1028" s="819">
        <v>9</v>
      </c>
      <c r="B1028" s="831"/>
      <c r="C1028" s="819"/>
      <c r="D1028" s="767" t="s">
        <v>1634</v>
      </c>
      <c r="E1028" s="766">
        <v>6</v>
      </c>
      <c r="F1028" s="828" t="s">
        <v>1615</v>
      </c>
      <c r="G1028" s="834" t="s">
        <v>19</v>
      </c>
      <c r="H1028" s="219">
        <v>189.5</v>
      </c>
      <c r="I1028" s="309"/>
      <c r="J1028" s="829" t="s">
        <v>1620</v>
      </c>
      <c r="K1028" s="829" t="s">
        <v>1630</v>
      </c>
      <c r="L1028" s="45"/>
      <c r="M1028" s="830"/>
    </row>
    <row r="1029" spans="1:13" ht="28.5" customHeight="1">
      <c r="A1029" s="819">
        <v>9</v>
      </c>
      <c r="B1029" s="831"/>
      <c r="C1029" s="819"/>
      <c r="D1029" s="767" t="s">
        <v>1635</v>
      </c>
      <c r="E1029" s="766">
        <v>6</v>
      </c>
      <c r="F1029" s="828" t="s">
        <v>1615</v>
      </c>
      <c r="G1029" s="834" t="s">
        <v>19</v>
      </c>
      <c r="H1029" s="219">
        <v>453</v>
      </c>
      <c r="I1029" s="309"/>
      <c r="J1029" s="829" t="s">
        <v>1620</v>
      </c>
      <c r="K1029" s="829" t="s">
        <v>1630</v>
      </c>
      <c r="L1029" s="45"/>
      <c r="M1029" s="830"/>
    </row>
    <row r="1030" spans="1:13" ht="18" customHeight="1">
      <c r="A1030" s="819">
        <v>9</v>
      </c>
      <c r="B1030" s="831"/>
      <c r="C1030" s="819" t="s">
        <v>1636</v>
      </c>
      <c r="D1030" s="832" t="s">
        <v>1637</v>
      </c>
      <c r="E1030" s="766">
        <v>3</v>
      </c>
      <c r="F1030" s="828" t="s">
        <v>1615</v>
      </c>
      <c r="G1030" s="834" t="s">
        <v>19</v>
      </c>
      <c r="H1030" s="219">
        <v>100</v>
      </c>
      <c r="I1030" s="309"/>
      <c r="J1030" s="829" t="s">
        <v>1623</v>
      </c>
      <c r="K1030" s="829" t="s">
        <v>1638</v>
      </c>
      <c r="L1030" s="45">
        <v>100</v>
      </c>
      <c r="M1030" s="830"/>
    </row>
    <row r="1031" spans="1:13" ht="30.6">
      <c r="A1031" s="819">
        <v>9</v>
      </c>
      <c r="B1031" s="831"/>
      <c r="C1031" s="819" t="s">
        <v>1639</v>
      </c>
      <c r="D1031" s="832" t="s">
        <v>1640</v>
      </c>
      <c r="E1031" s="766">
        <v>6</v>
      </c>
      <c r="F1031" s="828" t="s">
        <v>1615</v>
      </c>
      <c r="G1031" s="834" t="s">
        <v>19</v>
      </c>
      <c r="H1031" s="219">
        <v>300</v>
      </c>
      <c r="I1031" s="309"/>
      <c r="J1031" s="829" t="s">
        <v>1627</v>
      </c>
      <c r="K1031" s="829" t="s">
        <v>1641</v>
      </c>
      <c r="L1031" s="835">
        <v>50</v>
      </c>
      <c r="M1031" s="830"/>
    </row>
    <row r="1032" spans="1:13" ht="12.75" customHeight="1">
      <c r="A1032" s="819">
        <v>9</v>
      </c>
      <c r="B1032" s="831"/>
      <c r="C1032" s="819"/>
      <c r="D1032" s="837"/>
      <c r="E1032" s="833"/>
      <c r="F1032" s="828" t="s">
        <v>1615</v>
      </c>
      <c r="G1032" s="768" t="s">
        <v>257</v>
      </c>
      <c r="H1032" s="207">
        <f>SUM(H1018:H1031)</f>
        <v>9773.7000000000007</v>
      </c>
      <c r="I1032" s="309"/>
      <c r="J1032" s="829"/>
      <c r="K1032" s="161"/>
      <c r="L1032" s="45"/>
      <c r="M1032" s="830"/>
    </row>
    <row r="1033" spans="1:13" ht="12.75" customHeight="1">
      <c r="A1033" s="819">
        <v>9</v>
      </c>
      <c r="B1033" s="831"/>
      <c r="C1033" s="819" t="s">
        <v>1642</v>
      </c>
      <c r="D1033" s="832" t="s">
        <v>1643</v>
      </c>
      <c r="E1033" s="833">
        <v>19</v>
      </c>
      <c r="F1033" s="828" t="s">
        <v>1644</v>
      </c>
      <c r="G1033" s="834" t="s">
        <v>19</v>
      </c>
      <c r="H1033" s="219">
        <f>164.8+15</f>
        <v>179.8</v>
      </c>
      <c r="I1033" s="309"/>
      <c r="J1033" s="829" t="s">
        <v>1645</v>
      </c>
      <c r="K1033" s="829" t="s">
        <v>1646</v>
      </c>
      <c r="L1033" s="835">
        <v>1</v>
      </c>
      <c r="M1033" s="830" t="s">
        <v>222</v>
      </c>
    </row>
    <row r="1034" spans="1:13" ht="12.75" customHeight="1">
      <c r="A1034" s="819">
        <v>9</v>
      </c>
      <c r="B1034" s="831"/>
      <c r="C1034" s="819" t="s">
        <v>1647</v>
      </c>
      <c r="D1034" s="832" t="s">
        <v>1648</v>
      </c>
      <c r="E1034" s="833">
        <v>20</v>
      </c>
      <c r="F1034" s="828" t="s">
        <v>1649</v>
      </c>
      <c r="G1034" s="834" t="s">
        <v>19</v>
      </c>
      <c r="H1034" s="219">
        <v>208.2</v>
      </c>
      <c r="I1034" s="309"/>
      <c r="J1034" s="829" t="s">
        <v>1650</v>
      </c>
      <c r="K1034" s="829" t="s">
        <v>1646</v>
      </c>
      <c r="L1034" s="835">
        <v>1</v>
      </c>
      <c r="M1034" s="830" t="s">
        <v>562</v>
      </c>
    </row>
    <row r="1035" spans="1:13" ht="12.75" customHeight="1">
      <c r="A1035" s="819">
        <v>9</v>
      </c>
      <c r="B1035" s="831"/>
      <c r="C1035" s="819" t="s">
        <v>1651</v>
      </c>
      <c r="D1035" s="832" t="s">
        <v>1652</v>
      </c>
      <c r="E1035" s="833">
        <v>21</v>
      </c>
      <c r="F1035" s="828" t="s">
        <v>1653</v>
      </c>
      <c r="G1035" s="834" t="s">
        <v>19</v>
      </c>
      <c r="H1035" s="219">
        <v>197.6</v>
      </c>
      <c r="I1035" s="309"/>
      <c r="J1035" s="829" t="s">
        <v>1223</v>
      </c>
      <c r="K1035" s="829" t="s">
        <v>1646</v>
      </c>
      <c r="L1035" s="835">
        <v>1</v>
      </c>
      <c r="M1035" s="830" t="s">
        <v>189</v>
      </c>
    </row>
    <row r="1036" spans="1:13" ht="12.75" customHeight="1">
      <c r="A1036" s="819">
        <v>9</v>
      </c>
      <c r="B1036" s="831"/>
      <c r="C1036" s="819" t="s">
        <v>1654</v>
      </c>
      <c r="D1036" s="832" t="s">
        <v>1655</v>
      </c>
      <c r="E1036" s="833">
        <v>22</v>
      </c>
      <c r="F1036" s="828" t="s">
        <v>1656</v>
      </c>
      <c r="G1036" s="834" t="s">
        <v>19</v>
      </c>
      <c r="H1036" s="219">
        <v>144.69999999999999</v>
      </c>
      <c r="I1036" s="309"/>
      <c r="J1036" s="829" t="s">
        <v>1227</v>
      </c>
      <c r="K1036" s="829" t="s">
        <v>1646</v>
      </c>
      <c r="L1036" s="835">
        <v>1</v>
      </c>
      <c r="M1036" s="830" t="s">
        <v>1657</v>
      </c>
    </row>
    <row r="1037" spans="1:13" ht="12.75" customHeight="1">
      <c r="A1037" s="819">
        <v>9</v>
      </c>
      <c r="B1037" s="831"/>
      <c r="C1037" s="819" t="s">
        <v>1658</v>
      </c>
      <c r="D1037" s="832" t="s">
        <v>1659</v>
      </c>
      <c r="E1037" s="833">
        <v>23</v>
      </c>
      <c r="F1037" s="828" t="s">
        <v>1660</v>
      </c>
      <c r="G1037" s="834" t="s">
        <v>19</v>
      </c>
      <c r="H1037" s="219">
        <v>140.5</v>
      </c>
      <c r="I1037" s="309"/>
      <c r="J1037" s="791" t="s">
        <v>498</v>
      </c>
      <c r="K1037" s="829" t="s">
        <v>1646</v>
      </c>
      <c r="L1037" s="835">
        <v>1</v>
      </c>
      <c r="M1037" s="830" t="s">
        <v>67</v>
      </c>
    </row>
    <row r="1038" spans="1:13" ht="12.75" customHeight="1">
      <c r="A1038" s="819">
        <v>9</v>
      </c>
      <c r="B1038" s="831"/>
      <c r="C1038" s="819" t="s">
        <v>1661</v>
      </c>
      <c r="D1038" s="832" t="s">
        <v>1662</v>
      </c>
      <c r="E1038" s="833">
        <v>24</v>
      </c>
      <c r="F1038" s="828" t="s">
        <v>1663</v>
      </c>
      <c r="G1038" s="834" t="s">
        <v>19</v>
      </c>
      <c r="H1038" s="219">
        <v>128.30000000000001</v>
      </c>
      <c r="I1038" s="309"/>
      <c r="J1038" s="829" t="s">
        <v>1234</v>
      </c>
      <c r="K1038" s="829" t="s">
        <v>1646</v>
      </c>
      <c r="L1038" s="835">
        <v>1</v>
      </c>
      <c r="M1038" s="830" t="s">
        <v>373</v>
      </c>
    </row>
    <row r="1039" spans="1:13" ht="12.75" customHeight="1">
      <c r="A1039" s="819">
        <v>9</v>
      </c>
      <c r="B1039" s="831"/>
      <c r="C1039" s="819"/>
      <c r="D1039" s="832"/>
      <c r="E1039" s="833">
        <v>24</v>
      </c>
      <c r="F1039" s="828" t="s">
        <v>1663</v>
      </c>
      <c r="G1039" s="819" t="s">
        <v>22</v>
      </c>
      <c r="H1039" s="219">
        <v>0.3</v>
      </c>
      <c r="I1039" s="309"/>
      <c r="J1039" s="829" t="s">
        <v>1234</v>
      </c>
      <c r="K1039" s="829" t="s">
        <v>1646</v>
      </c>
      <c r="L1039" s="835">
        <v>1</v>
      </c>
      <c r="M1039" s="830" t="s">
        <v>373</v>
      </c>
    </row>
    <row r="1040" spans="1:13" ht="12.75" customHeight="1">
      <c r="A1040" s="819">
        <v>9</v>
      </c>
      <c r="B1040" s="831"/>
      <c r="C1040" s="819" t="s">
        <v>1664</v>
      </c>
      <c r="D1040" s="832" t="s">
        <v>1665</v>
      </c>
      <c r="E1040" s="833">
        <v>25</v>
      </c>
      <c r="F1040" s="828" t="s">
        <v>1666</v>
      </c>
      <c r="G1040" s="834" t="s">
        <v>19</v>
      </c>
      <c r="H1040" s="219">
        <v>152.5</v>
      </c>
      <c r="I1040" s="309"/>
      <c r="J1040" s="829" t="s">
        <v>1238</v>
      </c>
      <c r="K1040" s="829" t="s">
        <v>1646</v>
      </c>
      <c r="L1040" s="835">
        <v>1</v>
      </c>
      <c r="M1040" s="830" t="s">
        <v>228</v>
      </c>
    </row>
    <row r="1041" spans="1:13" ht="12.75" customHeight="1">
      <c r="A1041" s="819">
        <v>9</v>
      </c>
      <c r="B1041" s="831"/>
      <c r="C1041" s="819"/>
      <c r="D1041" s="832"/>
      <c r="E1041" s="833">
        <v>25</v>
      </c>
      <c r="F1041" s="828" t="s">
        <v>1666</v>
      </c>
      <c r="G1041" s="819" t="s">
        <v>22</v>
      </c>
      <c r="H1041" s="219"/>
      <c r="I1041" s="309"/>
      <c r="J1041" s="829" t="s">
        <v>1238</v>
      </c>
      <c r="K1041" s="829" t="s">
        <v>1646</v>
      </c>
      <c r="L1041" s="835">
        <v>1</v>
      </c>
      <c r="M1041" s="830" t="s">
        <v>228</v>
      </c>
    </row>
    <row r="1042" spans="1:13" ht="12.75" customHeight="1">
      <c r="A1042" s="819">
        <v>9</v>
      </c>
      <c r="B1042" s="831"/>
      <c r="C1042" s="819" t="s">
        <v>1667</v>
      </c>
      <c r="D1042" s="832" t="s">
        <v>1668</v>
      </c>
      <c r="E1042" s="833">
        <v>26</v>
      </c>
      <c r="F1042" s="828" t="s">
        <v>1669</v>
      </c>
      <c r="G1042" s="834" t="s">
        <v>19</v>
      </c>
      <c r="H1042" s="219">
        <v>191.8</v>
      </c>
      <c r="I1042" s="309"/>
      <c r="J1042" s="829" t="s">
        <v>1012</v>
      </c>
      <c r="K1042" s="829" t="s">
        <v>1646</v>
      </c>
      <c r="L1042" s="835">
        <v>1</v>
      </c>
      <c r="M1042" s="830" t="s">
        <v>192</v>
      </c>
    </row>
    <row r="1043" spans="1:13" ht="12.75" customHeight="1">
      <c r="A1043" s="819">
        <v>9</v>
      </c>
      <c r="B1043" s="831"/>
      <c r="C1043" s="819" t="s">
        <v>1670</v>
      </c>
      <c r="D1043" s="832" t="s">
        <v>1671</v>
      </c>
      <c r="E1043" s="833">
        <v>27</v>
      </c>
      <c r="F1043" s="828" t="s">
        <v>1672</v>
      </c>
      <c r="G1043" s="834" t="s">
        <v>19</v>
      </c>
      <c r="H1043" s="219">
        <v>251.9</v>
      </c>
      <c r="I1043" s="309"/>
      <c r="J1043" s="829" t="s">
        <v>1673</v>
      </c>
      <c r="K1043" s="829" t="s">
        <v>1646</v>
      </c>
      <c r="L1043" s="835">
        <v>1</v>
      </c>
      <c r="M1043" s="830" t="s">
        <v>185</v>
      </c>
    </row>
    <row r="1044" spans="1:13" ht="12.75" customHeight="1">
      <c r="A1044" s="819">
        <v>9</v>
      </c>
      <c r="B1044" s="831"/>
      <c r="C1044" s="819"/>
      <c r="D1044" s="832"/>
      <c r="E1044" s="833">
        <v>27</v>
      </c>
      <c r="F1044" s="828" t="s">
        <v>1672</v>
      </c>
      <c r="G1044" s="819" t="s">
        <v>22</v>
      </c>
      <c r="H1044" s="219">
        <v>1.3</v>
      </c>
      <c r="I1044" s="309"/>
      <c r="J1044" s="829" t="s">
        <v>1673</v>
      </c>
      <c r="K1044" s="829" t="s">
        <v>1646</v>
      </c>
      <c r="L1044" s="835">
        <v>1</v>
      </c>
      <c r="M1044" s="830" t="s">
        <v>185</v>
      </c>
    </row>
    <row r="1045" spans="1:13" ht="12.75" customHeight="1">
      <c r="A1045" s="819">
        <v>9</v>
      </c>
      <c r="B1045" s="831"/>
      <c r="C1045" s="819" t="s">
        <v>1674</v>
      </c>
      <c r="D1045" s="832" t="s">
        <v>1675</v>
      </c>
      <c r="E1045" s="833">
        <v>28</v>
      </c>
      <c r="F1045" s="828" t="s">
        <v>1676</v>
      </c>
      <c r="G1045" s="834" t="s">
        <v>19</v>
      </c>
      <c r="H1045" s="219">
        <v>171.8</v>
      </c>
      <c r="I1045" s="309"/>
      <c r="J1045" s="829" t="s">
        <v>1250</v>
      </c>
      <c r="K1045" s="829" t="s">
        <v>1646</v>
      </c>
      <c r="L1045" s="835">
        <v>1</v>
      </c>
      <c r="M1045" s="830" t="s">
        <v>200</v>
      </c>
    </row>
    <row r="1046" spans="1:13" ht="12.75" customHeight="1">
      <c r="A1046" s="819">
        <v>9</v>
      </c>
      <c r="B1046" s="831"/>
      <c r="C1046" s="819"/>
      <c r="D1046" s="832"/>
      <c r="E1046" s="833">
        <v>28</v>
      </c>
      <c r="F1046" s="828" t="s">
        <v>1676</v>
      </c>
      <c r="G1046" s="819" t="s">
        <v>22</v>
      </c>
      <c r="H1046" s="219">
        <v>0.7</v>
      </c>
      <c r="I1046" s="309"/>
      <c r="J1046" s="829" t="s">
        <v>1250</v>
      </c>
      <c r="K1046" s="829" t="s">
        <v>1646</v>
      </c>
      <c r="L1046" s="835">
        <v>1</v>
      </c>
      <c r="M1046" s="830" t="s">
        <v>200</v>
      </c>
    </row>
    <row r="1047" spans="1:13" ht="12.75" customHeight="1">
      <c r="A1047" s="819">
        <v>9</v>
      </c>
      <c r="B1047" s="831"/>
      <c r="C1047" s="819" t="s">
        <v>1677</v>
      </c>
      <c r="D1047" s="832" t="s">
        <v>1678</v>
      </c>
      <c r="E1047" s="833">
        <v>29</v>
      </c>
      <c r="F1047" s="828" t="s">
        <v>1679</v>
      </c>
      <c r="G1047" s="834" t="s">
        <v>19</v>
      </c>
      <c r="H1047" s="219">
        <v>197</v>
      </c>
      <c r="I1047" s="309"/>
      <c r="J1047" s="829" t="s">
        <v>1254</v>
      </c>
      <c r="K1047" s="829" t="s">
        <v>1646</v>
      </c>
      <c r="L1047" s="835">
        <v>1</v>
      </c>
      <c r="M1047" s="830" t="s">
        <v>227</v>
      </c>
    </row>
    <row r="1048" spans="1:13" ht="12.75" customHeight="1">
      <c r="A1048" s="819">
        <v>9</v>
      </c>
      <c r="B1048" s="831"/>
      <c r="C1048" s="819" t="s">
        <v>1680</v>
      </c>
      <c r="D1048" s="832" t="s">
        <v>1681</v>
      </c>
      <c r="E1048" s="833">
        <v>15</v>
      </c>
      <c r="F1048" s="828" t="s">
        <v>1682</v>
      </c>
      <c r="G1048" s="834" t="s">
        <v>19</v>
      </c>
      <c r="H1048" s="219">
        <v>300</v>
      </c>
      <c r="I1048" s="309"/>
      <c r="J1048" s="829" t="s">
        <v>1683</v>
      </c>
      <c r="K1048" s="829" t="s">
        <v>1684</v>
      </c>
      <c r="L1048" s="835">
        <v>3000</v>
      </c>
      <c r="M1048" s="830"/>
    </row>
    <row r="1049" spans="1:13" ht="22.5" customHeight="1">
      <c r="A1049" s="819">
        <v>9</v>
      </c>
      <c r="B1049" s="831"/>
      <c r="C1049" s="819" t="s">
        <v>1685</v>
      </c>
      <c r="D1049" s="832" t="s">
        <v>1686</v>
      </c>
      <c r="E1049" s="833">
        <v>3</v>
      </c>
      <c r="F1049" s="828" t="s">
        <v>1682</v>
      </c>
      <c r="G1049" s="834" t="s">
        <v>19</v>
      </c>
      <c r="H1049" s="219">
        <v>215</v>
      </c>
      <c r="I1049" s="309"/>
      <c r="J1049" s="829" t="s">
        <v>1683</v>
      </c>
      <c r="K1049" s="829" t="s">
        <v>1687</v>
      </c>
      <c r="L1049" s="835">
        <v>18000</v>
      </c>
      <c r="M1049" s="830"/>
    </row>
    <row r="1050" spans="1:13" ht="12.75" customHeight="1">
      <c r="A1050" s="819">
        <v>9</v>
      </c>
      <c r="B1050" s="831"/>
      <c r="C1050" s="819"/>
      <c r="D1050" s="832"/>
      <c r="E1050" s="833"/>
      <c r="F1050" s="828"/>
      <c r="G1050" s="768" t="s">
        <v>257</v>
      </c>
      <c r="H1050" s="207">
        <f>SUM(H1033:H1049)</f>
        <v>2481.3999999999996</v>
      </c>
      <c r="I1050" s="309"/>
      <c r="J1050" s="829"/>
      <c r="K1050" s="829"/>
      <c r="L1050" s="835"/>
      <c r="M1050" s="830"/>
    </row>
    <row r="1051" spans="1:13" ht="25.5" customHeight="1">
      <c r="A1051" s="819">
        <v>9</v>
      </c>
      <c r="B1051" s="760" t="s">
        <v>1688</v>
      </c>
      <c r="C1051" s="760" t="s">
        <v>1688</v>
      </c>
      <c r="D1051" s="761" t="s">
        <v>1689</v>
      </c>
      <c r="E1051" s="833"/>
      <c r="F1051" s="828"/>
      <c r="G1051" s="207" t="s">
        <v>1597</v>
      </c>
      <c r="H1051" s="207">
        <f>SUM(H1070+H1074+H1078+H1083+H1087+H1094+H1098+H1105+H1121+H1149+H1155+H1161)</f>
        <v>1695.7000000000003</v>
      </c>
      <c r="I1051" s="309" t="s">
        <v>20</v>
      </c>
      <c r="J1051" s="829"/>
      <c r="K1051" s="838"/>
      <c r="L1051" s="835"/>
      <c r="M1051" s="830"/>
    </row>
    <row r="1052" spans="1:13" ht="12.75" customHeight="1">
      <c r="A1052" s="819">
        <v>9</v>
      </c>
      <c r="B1052" s="386"/>
      <c r="C1052" s="386"/>
      <c r="D1052" s="245"/>
      <c r="E1052" s="833"/>
      <c r="F1052" s="828"/>
      <c r="G1052" s="207" t="s">
        <v>1612</v>
      </c>
      <c r="H1052" s="207"/>
      <c r="I1052" s="309"/>
      <c r="J1052" s="829"/>
      <c r="K1052" s="829"/>
      <c r="L1052" s="835"/>
      <c r="M1052" s="830"/>
    </row>
    <row r="1053" spans="1:13" ht="12.75" customHeight="1">
      <c r="A1053" s="819">
        <v>9</v>
      </c>
      <c r="B1053" s="831"/>
      <c r="C1053" s="819"/>
      <c r="D1053" s="832"/>
      <c r="E1053" s="833"/>
      <c r="F1053" s="828"/>
      <c r="G1053" s="207" t="s">
        <v>1598</v>
      </c>
      <c r="H1053" s="207">
        <f>SUM(H1065+H1068+H1072+H1076+H1081+H1085+H1089+H1092+H1096+H1103+H1106+H1108+H1110+H1112+H1114+H1116+H1118+H1122+H1123+H1124+H1125+H1128+H1150+H1153+H1157+H1160)</f>
        <v>24.4</v>
      </c>
      <c r="I1053" s="309"/>
      <c r="J1053" s="829"/>
      <c r="K1053" s="829"/>
      <c r="L1053" s="835"/>
      <c r="M1053" s="830"/>
    </row>
    <row r="1054" spans="1:13" ht="12.75" customHeight="1">
      <c r="A1054" s="819">
        <v>9</v>
      </c>
      <c r="B1054" s="831"/>
      <c r="C1054" s="819"/>
      <c r="D1054" s="832"/>
      <c r="E1054" s="833"/>
      <c r="F1054" s="828"/>
      <c r="G1054" s="207" t="s">
        <v>1690</v>
      </c>
      <c r="H1054" s="207">
        <f>SUM(H1066,H1069,H1073,H1077,H1082,H1086,H1090,H1093,H1097,H1104,H1107,H1109,H1111,H1113,H1115,H1117,H1119,H1129,H1132,H1134,H1136,H1139,H1141,H1144,H1146,H1148,H1154,H1158)</f>
        <v>696.20000000000016</v>
      </c>
      <c r="I1054" s="309"/>
      <c r="J1054" s="829"/>
      <c r="K1054" s="829"/>
      <c r="L1054" s="835"/>
      <c r="M1054" s="830"/>
    </row>
    <row r="1055" spans="1:13" ht="12.75" customHeight="1">
      <c r="A1055" s="819">
        <v>9</v>
      </c>
      <c r="B1055" s="831"/>
      <c r="C1055" s="819"/>
      <c r="D1055" s="832"/>
      <c r="E1055" s="833"/>
      <c r="F1055" s="828"/>
      <c r="G1055" s="207" t="s">
        <v>1691</v>
      </c>
      <c r="H1055" s="207">
        <f t="shared" ref="H1055:H1056" si="2">SUM(H1101)</f>
        <v>7.3</v>
      </c>
      <c r="I1055" s="309"/>
      <c r="J1055" s="829"/>
      <c r="K1055" s="829"/>
      <c r="L1055" s="835"/>
      <c r="M1055" s="830"/>
    </row>
    <row r="1056" spans="1:13" ht="12.75" customHeight="1">
      <c r="A1056" s="819">
        <v>9</v>
      </c>
      <c r="B1056" s="831"/>
      <c r="C1056" s="819"/>
      <c r="D1056" s="832"/>
      <c r="E1056" s="833"/>
      <c r="F1056" s="828"/>
      <c r="G1056" s="207" t="s">
        <v>1692</v>
      </c>
      <c r="H1056" s="207">
        <f t="shared" si="2"/>
        <v>7.3</v>
      </c>
      <c r="I1056" s="309"/>
      <c r="J1056" s="829"/>
      <c r="K1056" s="829"/>
      <c r="L1056" s="835"/>
      <c r="M1056" s="830"/>
    </row>
    <row r="1057" spans="1:13" ht="12.75" customHeight="1">
      <c r="A1057" s="819">
        <v>9</v>
      </c>
      <c r="B1057" s="831"/>
      <c r="C1057" s="819"/>
      <c r="D1057" s="832"/>
      <c r="E1057" s="833"/>
      <c r="F1057" s="828"/>
      <c r="G1057" s="207" t="s">
        <v>1693</v>
      </c>
      <c r="H1057" s="207">
        <f>H1126</f>
        <v>0</v>
      </c>
      <c r="I1057" s="309"/>
      <c r="J1057" s="829"/>
      <c r="K1057" s="829"/>
      <c r="L1057" s="835"/>
      <c r="M1057" s="830"/>
    </row>
    <row r="1058" spans="1:13" ht="12.75" customHeight="1">
      <c r="A1058" s="819">
        <v>9</v>
      </c>
      <c r="B1058" s="831"/>
      <c r="C1058" s="819"/>
      <c r="D1058" s="832"/>
      <c r="E1058" s="833"/>
      <c r="F1058" s="828"/>
      <c r="G1058" s="207" t="s">
        <v>1694</v>
      </c>
      <c r="H1058" s="207"/>
      <c r="I1058" s="309"/>
      <c r="J1058" s="829"/>
      <c r="K1058" s="829"/>
      <c r="L1058" s="835"/>
      <c r="M1058" s="830"/>
    </row>
    <row r="1059" spans="1:13" ht="12.75" customHeight="1">
      <c r="A1059" s="819">
        <v>9</v>
      </c>
      <c r="B1059" s="831"/>
      <c r="C1059" s="819"/>
      <c r="D1059" s="832"/>
      <c r="E1059" s="833"/>
      <c r="F1059" s="828"/>
      <c r="G1059" s="207" t="s">
        <v>1695</v>
      </c>
      <c r="H1059" s="207"/>
      <c r="I1059" s="309"/>
      <c r="J1059" s="829"/>
      <c r="K1059" s="829"/>
      <c r="L1059" s="835"/>
      <c r="M1059" s="830"/>
    </row>
    <row r="1060" spans="1:13" ht="12.75" customHeight="1">
      <c r="A1060" s="819">
        <v>9</v>
      </c>
      <c r="B1060" s="831"/>
      <c r="C1060" s="819"/>
      <c r="D1060" s="832"/>
      <c r="E1060" s="833"/>
      <c r="F1060" s="828"/>
      <c r="G1060" s="207" t="s">
        <v>1696</v>
      </c>
      <c r="H1060" s="207">
        <f>SUM(H1163+H1166+H1169)</f>
        <v>62.8</v>
      </c>
      <c r="I1060" s="309"/>
      <c r="J1060" s="829"/>
      <c r="K1060" s="829"/>
      <c r="L1060" s="835"/>
      <c r="M1060" s="830"/>
    </row>
    <row r="1061" spans="1:13" ht="12.75" customHeight="1">
      <c r="A1061" s="819">
        <v>9</v>
      </c>
      <c r="B1061" s="831"/>
      <c r="C1061" s="819"/>
      <c r="D1061" s="832"/>
      <c r="E1061" s="833"/>
      <c r="F1061" s="828"/>
      <c r="G1061" s="207" t="s">
        <v>1697</v>
      </c>
      <c r="H1061" s="207">
        <f>SUM(H1164+H1167+H1170)</f>
        <v>15.799999999999999</v>
      </c>
      <c r="I1061" s="309"/>
      <c r="J1061" s="829"/>
      <c r="K1061" s="829"/>
      <c r="L1061" s="835"/>
      <c r="M1061" s="830"/>
    </row>
    <row r="1062" spans="1:13" ht="12.75" customHeight="1">
      <c r="A1062" s="819">
        <v>9</v>
      </c>
      <c r="B1062" s="831"/>
      <c r="C1062" s="819"/>
      <c r="D1062" s="832"/>
      <c r="E1062" s="833"/>
      <c r="F1062" s="828"/>
      <c r="G1062" s="207" t="s">
        <v>1698</v>
      </c>
      <c r="H1062" s="207">
        <f>SUM(H1079)</f>
        <v>0</v>
      </c>
      <c r="I1062" s="309"/>
      <c r="J1062" s="829"/>
      <c r="K1062" s="829"/>
      <c r="L1062" s="835"/>
      <c r="M1062" s="830"/>
    </row>
    <row r="1063" spans="1:13" ht="12.75" customHeight="1">
      <c r="A1063" s="819">
        <v>9</v>
      </c>
      <c r="B1063" s="831"/>
      <c r="C1063" s="819"/>
      <c r="D1063" s="832"/>
      <c r="E1063" s="833"/>
      <c r="F1063" s="833"/>
      <c r="G1063" s="207" t="s">
        <v>1699</v>
      </c>
      <c r="H1063" s="207">
        <f>H1099</f>
        <v>407.1</v>
      </c>
      <c r="I1063" s="309"/>
      <c r="J1063" s="829"/>
      <c r="K1063" s="829"/>
      <c r="L1063" s="835"/>
      <c r="M1063" s="830"/>
    </row>
    <row r="1064" spans="1:13" ht="12.75" customHeight="1">
      <c r="A1064" s="819">
        <v>9</v>
      </c>
      <c r="B1064" s="831"/>
      <c r="C1064" s="819"/>
      <c r="D1064" s="832"/>
      <c r="E1064" s="833"/>
      <c r="F1064" s="828"/>
      <c r="G1064" s="763" t="s">
        <v>257</v>
      </c>
      <c r="H1064" s="764">
        <f>SUM(H1051:H1063)</f>
        <v>2916.6000000000013</v>
      </c>
      <c r="I1064" s="309"/>
      <c r="J1064" s="829"/>
      <c r="K1064" s="161"/>
      <c r="L1064" s="45"/>
      <c r="M1064" s="830"/>
    </row>
    <row r="1065" spans="1:13" ht="30.6">
      <c r="A1065" s="819">
        <v>9</v>
      </c>
      <c r="B1065" s="831"/>
      <c r="C1065" s="819" t="s">
        <v>1700</v>
      </c>
      <c r="D1065" s="769" t="s">
        <v>1701</v>
      </c>
      <c r="E1065" s="735">
        <v>33</v>
      </c>
      <c r="F1065" s="828" t="s">
        <v>1702</v>
      </c>
      <c r="G1065" s="770" t="s">
        <v>21</v>
      </c>
      <c r="H1065" s="219"/>
      <c r="I1065" s="309"/>
      <c r="J1065" s="829" t="s">
        <v>1703</v>
      </c>
      <c r="K1065" s="829" t="s">
        <v>1704</v>
      </c>
      <c r="L1065" s="835">
        <v>1254</v>
      </c>
      <c r="M1065" s="830"/>
    </row>
    <row r="1066" spans="1:13" ht="12.75" customHeight="1">
      <c r="A1066" s="819">
        <v>9</v>
      </c>
      <c r="B1066" s="831"/>
      <c r="C1066" s="819"/>
      <c r="D1066" s="769"/>
      <c r="E1066" s="735">
        <v>33</v>
      </c>
      <c r="F1066" s="828" t="s">
        <v>1702</v>
      </c>
      <c r="G1066" s="313" t="s">
        <v>278</v>
      </c>
      <c r="H1066" s="219">
        <v>1.2</v>
      </c>
      <c r="I1066" s="309"/>
      <c r="J1066" s="829"/>
      <c r="K1066" s="161"/>
      <c r="L1066" s="45"/>
      <c r="M1066" s="830"/>
    </row>
    <row r="1067" spans="1:13" ht="12.75" customHeight="1">
      <c r="A1067" s="819">
        <v>9</v>
      </c>
      <c r="B1067" s="831"/>
      <c r="C1067" s="819"/>
      <c r="D1067" s="769"/>
      <c r="E1067" s="735">
        <v>33</v>
      </c>
      <c r="F1067" s="828" t="s">
        <v>1702</v>
      </c>
      <c r="G1067" s="771" t="s">
        <v>257</v>
      </c>
      <c r="H1067" s="772">
        <f>SUM(H1065,H1066)</f>
        <v>1.2</v>
      </c>
      <c r="I1067" s="309"/>
      <c r="J1067" s="829"/>
      <c r="K1067" s="161"/>
      <c r="L1067" s="45"/>
      <c r="M1067" s="830"/>
    </row>
    <row r="1068" spans="1:13" ht="22.5" customHeight="1">
      <c r="A1068" s="819">
        <v>9</v>
      </c>
      <c r="B1068" s="831"/>
      <c r="C1068" s="819" t="s">
        <v>1705</v>
      </c>
      <c r="D1068" s="769" t="s">
        <v>1706</v>
      </c>
      <c r="E1068" s="735">
        <v>3</v>
      </c>
      <c r="F1068" s="828" t="s">
        <v>1707</v>
      </c>
      <c r="G1068" s="770" t="s">
        <v>21</v>
      </c>
      <c r="H1068" s="219"/>
      <c r="I1068" s="309"/>
      <c r="J1068" s="829" t="s">
        <v>1708</v>
      </c>
      <c r="K1068" s="829" t="s">
        <v>1709</v>
      </c>
      <c r="L1068" s="835">
        <v>1</v>
      </c>
      <c r="M1068" s="839"/>
    </row>
    <row r="1069" spans="1:13" ht="12.75" customHeight="1">
      <c r="A1069" s="819">
        <v>9</v>
      </c>
      <c r="B1069" s="831"/>
      <c r="C1069" s="819"/>
      <c r="D1069" s="769"/>
      <c r="E1069" s="735">
        <v>3</v>
      </c>
      <c r="F1069" s="828" t="s">
        <v>1707</v>
      </c>
      <c r="G1069" s="313" t="s">
        <v>278</v>
      </c>
      <c r="H1069" s="219">
        <v>24.7</v>
      </c>
      <c r="I1069" s="309"/>
      <c r="J1069" s="829"/>
      <c r="K1069" s="161"/>
      <c r="L1069" s="45"/>
      <c r="M1069" s="840"/>
    </row>
    <row r="1070" spans="1:13" ht="22.5" customHeight="1">
      <c r="A1070" s="819">
        <v>9</v>
      </c>
      <c r="B1070" s="831"/>
      <c r="C1070" s="819"/>
      <c r="D1070" s="769"/>
      <c r="E1070" s="735">
        <v>3</v>
      </c>
      <c r="F1070" s="828" t="s">
        <v>1707</v>
      </c>
      <c r="G1070" s="313" t="s">
        <v>19</v>
      </c>
      <c r="H1070" s="219">
        <v>46.4</v>
      </c>
      <c r="I1070" s="309"/>
      <c r="J1070" s="829" t="s">
        <v>1708</v>
      </c>
      <c r="K1070" s="829" t="s">
        <v>1709</v>
      </c>
      <c r="L1070" s="835">
        <v>1</v>
      </c>
      <c r="M1070" s="142"/>
    </row>
    <row r="1071" spans="1:13" ht="12.75" customHeight="1">
      <c r="A1071" s="819">
        <v>9</v>
      </c>
      <c r="B1071" s="831"/>
      <c r="C1071" s="819"/>
      <c r="D1071" s="769"/>
      <c r="E1071" s="735">
        <v>3</v>
      </c>
      <c r="F1071" s="828" t="s">
        <v>1707</v>
      </c>
      <c r="G1071" s="771" t="s">
        <v>257</v>
      </c>
      <c r="H1071" s="772">
        <f>SUM(H1068+H1070+H1069)</f>
        <v>71.099999999999994</v>
      </c>
      <c r="I1071" s="309"/>
      <c r="J1071" s="829"/>
      <c r="K1071" s="161"/>
      <c r="L1071" s="45"/>
      <c r="M1071" s="840"/>
    </row>
    <row r="1072" spans="1:13" ht="12.75" customHeight="1">
      <c r="A1072" s="819">
        <v>9</v>
      </c>
      <c r="B1072" s="831"/>
      <c r="C1072" s="819" t="s">
        <v>1710</v>
      </c>
      <c r="D1072" s="769" t="s">
        <v>1711</v>
      </c>
      <c r="E1072" s="735">
        <v>16</v>
      </c>
      <c r="F1072" s="828" t="s">
        <v>1712</v>
      </c>
      <c r="G1072" s="770" t="s">
        <v>21</v>
      </c>
      <c r="H1072" s="219"/>
      <c r="I1072" s="309"/>
      <c r="J1072" s="829" t="s">
        <v>1713</v>
      </c>
      <c r="K1072" s="829" t="s">
        <v>1709</v>
      </c>
      <c r="L1072" s="835">
        <v>1</v>
      </c>
      <c r="M1072" s="840"/>
    </row>
    <row r="1073" spans="1:13" ht="12.75" customHeight="1">
      <c r="A1073" s="819">
        <v>9</v>
      </c>
      <c r="B1073" s="831"/>
      <c r="C1073" s="819"/>
      <c r="D1073" s="769"/>
      <c r="E1073" s="735">
        <v>16</v>
      </c>
      <c r="F1073" s="828" t="s">
        <v>1712</v>
      </c>
      <c r="G1073" s="313" t="s">
        <v>278</v>
      </c>
      <c r="H1073" s="219">
        <v>22.9</v>
      </c>
      <c r="I1073" s="309"/>
      <c r="J1073" s="829"/>
      <c r="K1073" s="161"/>
      <c r="L1073" s="45"/>
      <c r="M1073" s="841"/>
    </row>
    <row r="1074" spans="1:13" ht="12.75" customHeight="1">
      <c r="A1074" s="819">
        <v>9</v>
      </c>
      <c r="B1074" s="831"/>
      <c r="C1074" s="819"/>
      <c r="D1074" s="769"/>
      <c r="E1074" s="735">
        <v>16</v>
      </c>
      <c r="F1074" s="828" t="s">
        <v>1712</v>
      </c>
      <c r="G1074" s="313" t="s">
        <v>19</v>
      </c>
      <c r="H1074" s="219">
        <v>15.4</v>
      </c>
      <c r="I1074" s="309"/>
      <c r="J1074" s="829"/>
      <c r="K1074" s="161"/>
      <c r="L1074" s="45"/>
      <c r="M1074" s="830"/>
    </row>
    <row r="1075" spans="1:13" ht="12.75" customHeight="1">
      <c r="A1075" s="819">
        <v>9</v>
      </c>
      <c r="B1075" s="831"/>
      <c r="C1075" s="819"/>
      <c r="D1075" s="769"/>
      <c r="E1075" s="735">
        <v>16</v>
      </c>
      <c r="F1075" s="828" t="s">
        <v>1712</v>
      </c>
      <c r="G1075" s="771" t="s">
        <v>257</v>
      </c>
      <c r="H1075" s="772">
        <f>SUM(H1072+H1074+H1073)</f>
        <v>38.299999999999997</v>
      </c>
      <c r="I1075" s="309"/>
      <c r="J1075" s="829"/>
      <c r="K1075" s="161"/>
      <c r="L1075" s="45"/>
      <c r="M1075" s="830"/>
    </row>
    <row r="1076" spans="1:13" ht="27.6" customHeight="1">
      <c r="A1076" s="819">
        <v>9</v>
      </c>
      <c r="B1076" s="831"/>
      <c r="C1076" s="819" t="s">
        <v>1714</v>
      </c>
      <c r="D1076" s="769" t="s">
        <v>1715</v>
      </c>
      <c r="E1076" s="735">
        <v>3</v>
      </c>
      <c r="F1076" s="828" t="s">
        <v>1716</v>
      </c>
      <c r="G1076" s="770" t="s">
        <v>21</v>
      </c>
      <c r="H1076" s="219"/>
      <c r="I1076" s="309"/>
      <c r="J1076" s="829"/>
      <c r="K1076" s="829"/>
      <c r="L1076" s="835"/>
      <c r="M1076" s="830"/>
    </row>
    <row r="1077" spans="1:13" ht="12.75" customHeight="1">
      <c r="A1077" s="819">
        <v>9</v>
      </c>
      <c r="B1077" s="831"/>
      <c r="C1077" s="819"/>
      <c r="D1077" s="769"/>
      <c r="E1077" s="735">
        <v>3</v>
      </c>
      <c r="F1077" s="828" t="s">
        <v>1716</v>
      </c>
      <c r="G1077" s="313" t="s">
        <v>278</v>
      </c>
      <c r="H1077" s="219">
        <v>9</v>
      </c>
      <c r="I1077" s="309"/>
      <c r="J1077" s="829"/>
      <c r="K1077" s="161"/>
      <c r="L1077" s="45"/>
      <c r="M1077" s="830"/>
    </row>
    <row r="1078" spans="1:13" ht="12.75" customHeight="1">
      <c r="A1078" s="819">
        <v>9</v>
      </c>
      <c r="B1078" s="831"/>
      <c r="C1078" s="819"/>
      <c r="D1078" s="769"/>
      <c r="E1078" s="735">
        <v>3</v>
      </c>
      <c r="F1078" s="828" t="s">
        <v>1716</v>
      </c>
      <c r="G1078" s="313" t="s">
        <v>19</v>
      </c>
      <c r="H1078" s="219">
        <v>41.4</v>
      </c>
      <c r="I1078" s="309"/>
      <c r="J1078" s="829" t="s">
        <v>1717</v>
      </c>
      <c r="K1078" s="829" t="s">
        <v>1709</v>
      </c>
      <c r="L1078" s="835">
        <v>1</v>
      </c>
      <c r="M1078" s="830"/>
    </row>
    <row r="1079" spans="1:13" ht="12.75" customHeight="1">
      <c r="A1079" s="819">
        <v>9</v>
      </c>
      <c r="B1079" s="831"/>
      <c r="C1079" s="819"/>
      <c r="D1079" s="769"/>
      <c r="E1079" s="735">
        <v>3</v>
      </c>
      <c r="F1079" s="828" t="s">
        <v>1716</v>
      </c>
      <c r="G1079" s="770" t="s">
        <v>259</v>
      </c>
      <c r="H1079" s="219"/>
      <c r="I1079" s="309"/>
      <c r="J1079" s="829"/>
      <c r="K1079" s="161"/>
      <c r="L1079" s="45"/>
      <c r="M1079" s="830"/>
    </row>
    <row r="1080" spans="1:13" ht="12.75" customHeight="1">
      <c r="A1080" s="819">
        <v>9</v>
      </c>
      <c r="B1080" s="831"/>
      <c r="C1080" s="819"/>
      <c r="D1080" s="769"/>
      <c r="E1080" s="735">
        <v>3</v>
      </c>
      <c r="F1080" s="828" t="s">
        <v>1716</v>
      </c>
      <c r="G1080" s="771" t="s">
        <v>257</v>
      </c>
      <c r="H1080" s="772">
        <f>SUM(H1076+H1078+H1079+H1077)</f>
        <v>50.4</v>
      </c>
      <c r="I1080" s="309"/>
      <c r="J1080" s="829"/>
      <c r="K1080" s="161"/>
      <c r="L1080" s="45"/>
      <c r="M1080" s="830"/>
    </row>
    <row r="1081" spans="1:13" ht="51" customHeight="1">
      <c r="A1081" s="819">
        <v>9</v>
      </c>
      <c r="B1081" s="831"/>
      <c r="C1081" s="819" t="s">
        <v>1718</v>
      </c>
      <c r="D1081" s="769" t="s">
        <v>1719</v>
      </c>
      <c r="E1081" s="735">
        <v>33</v>
      </c>
      <c r="F1081" s="828" t="s">
        <v>1720</v>
      </c>
      <c r="G1081" s="770" t="s">
        <v>21</v>
      </c>
      <c r="H1081" s="219"/>
      <c r="I1081" s="309"/>
      <c r="J1081" s="829" t="s">
        <v>1721</v>
      </c>
      <c r="K1081" s="829" t="s">
        <v>1722</v>
      </c>
      <c r="L1081" s="835">
        <v>65</v>
      </c>
      <c r="M1081" s="830"/>
    </row>
    <row r="1082" spans="1:13" ht="12.75" customHeight="1">
      <c r="A1082" s="819">
        <v>9</v>
      </c>
      <c r="B1082" s="831"/>
      <c r="C1082" s="819"/>
      <c r="D1082" s="769"/>
      <c r="E1082" s="735">
        <v>33</v>
      </c>
      <c r="F1082" s="828" t="s">
        <v>1720</v>
      </c>
      <c r="G1082" s="313" t="s">
        <v>278</v>
      </c>
      <c r="H1082" s="219">
        <v>35.9</v>
      </c>
      <c r="I1082" s="309"/>
      <c r="J1082" s="829"/>
      <c r="K1082" s="161"/>
      <c r="L1082" s="45"/>
      <c r="M1082" s="830"/>
    </row>
    <row r="1083" spans="1:13" ht="36.75" customHeight="1">
      <c r="A1083" s="819">
        <v>9</v>
      </c>
      <c r="B1083" s="831"/>
      <c r="C1083" s="819"/>
      <c r="D1083" s="769"/>
      <c r="E1083" s="735">
        <v>33</v>
      </c>
      <c r="F1083" s="828" t="s">
        <v>1720</v>
      </c>
      <c r="G1083" s="313" t="s">
        <v>19</v>
      </c>
      <c r="H1083" s="219">
        <v>116.9</v>
      </c>
      <c r="I1083" s="309"/>
      <c r="J1083" s="829" t="s">
        <v>1723</v>
      </c>
      <c r="K1083" s="829" t="s">
        <v>1722</v>
      </c>
      <c r="L1083" s="835">
        <v>65</v>
      </c>
      <c r="M1083" s="830"/>
    </row>
    <row r="1084" spans="1:13" ht="12.75" customHeight="1">
      <c r="A1084" s="819">
        <v>9</v>
      </c>
      <c r="B1084" s="831"/>
      <c r="C1084" s="819"/>
      <c r="D1084" s="769"/>
      <c r="E1084" s="735">
        <v>33</v>
      </c>
      <c r="F1084" s="828" t="s">
        <v>1720</v>
      </c>
      <c r="G1084" s="771" t="s">
        <v>257</v>
      </c>
      <c r="H1084" s="772">
        <f>SUM(H1081+H1083+H1082)</f>
        <v>152.80000000000001</v>
      </c>
      <c r="I1084" s="309"/>
      <c r="J1084" s="829"/>
      <c r="K1084" s="161"/>
      <c r="L1084" s="45"/>
      <c r="M1084" s="830"/>
    </row>
    <row r="1085" spans="1:13" ht="36.6" customHeight="1">
      <c r="A1085" s="819">
        <v>9</v>
      </c>
      <c r="B1085" s="831"/>
      <c r="C1085" s="819" t="s">
        <v>1724</v>
      </c>
      <c r="D1085" s="769" t="s">
        <v>1725</v>
      </c>
      <c r="E1085" s="735">
        <v>36</v>
      </c>
      <c r="F1085" s="828" t="s">
        <v>1726</v>
      </c>
      <c r="G1085" s="770" t="s">
        <v>21</v>
      </c>
      <c r="H1085" s="219"/>
      <c r="I1085" s="309"/>
      <c r="J1085" s="829" t="s">
        <v>1727</v>
      </c>
      <c r="K1085" s="829" t="s">
        <v>1709</v>
      </c>
      <c r="L1085" s="835">
        <v>1</v>
      </c>
      <c r="M1085" s="830"/>
    </row>
    <row r="1086" spans="1:13" ht="12.75" customHeight="1">
      <c r="A1086" s="819">
        <v>9</v>
      </c>
      <c r="B1086" s="831"/>
      <c r="C1086" s="819"/>
      <c r="D1086" s="769"/>
      <c r="E1086" s="735">
        <v>36</v>
      </c>
      <c r="F1086" s="828" t="s">
        <v>1726</v>
      </c>
      <c r="G1086" s="313" t="s">
        <v>278</v>
      </c>
      <c r="H1086" s="219">
        <v>66.5</v>
      </c>
      <c r="I1086" s="309"/>
      <c r="J1086" s="829"/>
      <c r="K1086" s="161"/>
      <c r="L1086" s="45"/>
      <c r="M1086" s="830"/>
    </row>
    <row r="1087" spans="1:13" ht="32.4" customHeight="1">
      <c r="A1087" s="819">
        <v>9</v>
      </c>
      <c r="B1087" s="831"/>
      <c r="C1087" s="819"/>
      <c r="D1087" s="769"/>
      <c r="E1087" s="735">
        <v>36</v>
      </c>
      <c r="F1087" s="828" t="s">
        <v>1726</v>
      </c>
      <c r="G1087" s="313" t="s">
        <v>19</v>
      </c>
      <c r="H1087" s="219">
        <v>50.5</v>
      </c>
      <c r="I1087" s="309"/>
      <c r="J1087" s="829" t="s">
        <v>1727</v>
      </c>
      <c r="K1087" s="829" t="s">
        <v>1709</v>
      </c>
      <c r="L1087" s="835">
        <v>1</v>
      </c>
      <c r="M1087" s="830"/>
    </row>
    <row r="1088" spans="1:13" ht="12.75" customHeight="1">
      <c r="A1088" s="819">
        <v>9</v>
      </c>
      <c r="B1088" s="831"/>
      <c r="C1088" s="819"/>
      <c r="D1088" s="769"/>
      <c r="E1088" s="735">
        <v>36</v>
      </c>
      <c r="F1088" s="828" t="s">
        <v>1726</v>
      </c>
      <c r="G1088" s="771" t="s">
        <v>257</v>
      </c>
      <c r="H1088" s="772">
        <f>SUM(H1085+H1087+H1086)</f>
        <v>117</v>
      </c>
      <c r="I1088" s="309"/>
      <c r="J1088" s="829"/>
      <c r="K1088" s="161"/>
      <c r="L1088" s="45"/>
      <c r="M1088" s="830"/>
    </row>
    <row r="1089" spans="1:13" ht="44.4" customHeight="1">
      <c r="A1089" s="819">
        <v>9</v>
      </c>
      <c r="B1089" s="831"/>
      <c r="C1089" s="819" t="s">
        <v>1728</v>
      </c>
      <c r="D1089" s="769" t="s">
        <v>1729</v>
      </c>
      <c r="E1089" s="313">
        <v>12</v>
      </c>
      <c r="F1089" s="819" t="s">
        <v>1730</v>
      </c>
      <c r="G1089" s="770" t="s">
        <v>21</v>
      </c>
      <c r="H1089" s="219"/>
      <c r="I1089" s="309"/>
      <c r="J1089" s="829" t="s">
        <v>1731</v>
      </c>
      <c r="K1089" s="829" t="s">
        <v>1732</v>
      </c>
      <c r="L1089" s="835">
        <v>159</v>
      </c>
      <c r="M1089" s="830"/>
    </row>
    <row r="1090" spans="1:13" ht="12.75" customHeight="1">
      <c r="A1090" s="819">
        <v>9</v>
      </c>
      <c r="B1090" s="831"/>
      <c r="C1090" s="819"/>
      <c r="D1090" s="769"/>
      <c r="E1090" s="313">
        <v>12</v>
      </c>
      <c r="F1090" s="819" t="s">
        <v>1730</v>
      </c>
      <c r="G1090" s="313" t="s">
        <v>278</v>
      </c>
      <c r="H1090" s="219">
        <v>5.9</v>
      </c>
      <c r="I1090" s="309"/>
      <c r="J1090" s="829"/>
      <c r="K1090" s="161"/>
      <c r="L1090" s="45"/>
      <c r="M1090" s="830"/>
    </row>
    <row r="1091" spans="1:13" ht="12.75" customHeight="1">
      <c r="A1091" s="819">
        <v>9</v>
      </c>
      <c r="B1091" s="831"/>
      <c r="C1091" s="819"/>
      <c r="D1091" s="769"/>
      <c r="E1091" s="735">
        <v>12</v>
      </c>
      <c r="F1091" s="828" t="s">
        <v>1730</v>
      </c>
      <c r="G1091" s="771" t="s">
        <v>257</v>
      </c>
      <c r="H1091" s="772">
        <f>SUM(H1089,H1090)</f>
        <v>5.9</v>
      </c>
      <c r="I1091" s="309"/>
      <c r="J1091" s="829"/>
      <c r="K1091" s="161"/>
      <c r="L1091" s="45"/>
      <c r="M1091" s="830"/>
    </row>
    <row r="1092" spans="1:13" ht="12.75" customHeight="1">
      <c r="A1092" s="819">
        <v>9</v>
      </c>
      <c r="B1092" s="831"/>
      <c r="C1092" s="819" t="s">
        <v>1733</v>
      </c>
      <c r="D1092" s="209" t="s">
        <v>1734</v>
      </c>
      <c r="E1092" s="735">
        <v>39</v>
      </c>
      <c r="F1092" s="828" t="s">
        <v>1735</v>
      </c>
      <c r="G1092" s="770" t="s">
        <v>21</v>
      </c>
      <c r="H1092" s="219"/>
      <c r="I1092" s="309"/>
      <c r="J1092" s="829" t="s">
        <v>1736</v>
      </c>
      <c r="K1092" s="829" t="s">
        <v>1709</v>
      </c>
      <c r="L1092" s="835">
        <v>1</v>
      </c>
      <c r="M1092" s="830"/>
    </row>
    <row r="1093" spans="1:13" ht="12.75" customHeight="1">
      <c r="A1093" s="819">
        <v>9</v>
      </c>
      <c r="B1093" s="831"/>
      <c r="C1093" s="819"/>
      <c r="D1093" s="769"/>
      <c r="E1093" s="735">
        <v>39</v>
      </c>
      <c r="F1093" s="828" t="s">
        <v>1735</v>
      </c>
      <c r="G1093" s="313" t="s">
        <v>278</v>
      </c>
      <c r="H1093" s="219">
        <v>85.9</v>
      </c>
      <c r="I1093" s="309"/>
      <c r="J1093" s="829"/>
      <c r="K1093" s="161"/>
      <c r="L1093" s="45"/>
      <c r="M1093" s="830"/>
    </row>
    <row r="1094" spans="1:13" ht="12.75" customHeight="1">
      <c r="A1094" s="819">
        <v>9</v>
      </c>
      <c r="B1094" s="831"/>
      <c r="C1094" s="819"/>
      <c r="D1094" s="769"/>
      <c r="E1094" s="735">
        <v>39</v>
      </c>
      <c r="F1094" s="828" t="s">
        <v>1735</v>
      </c>
      <c r="G1094" s="313" t="s">
        <v>19</v>
      </c>
      <c r="H1094" s="219">
        <v>27.6</v>
      </c>
      <c r="I1094" s="309"/>
      <c r="J1094" s="829"/>
      <c r="K1094" s="161"/>
      <c r="L1094" s="45"/>
      <c r="M1094" s="830"/>
    </row>
    <row r="1095" spans="1:13" ht="12.75" customHeight="1">
      <c r="A1095" s="819">
        <v>9</v>
      </c>
      <c r="B1095" s="831"/>
      <c r="C1095" s="819"/>
      <c r="D1095" s="769"/>
      <c r="E1095" s="735">
        <v>39</v>
      </c>
      <c r="F1095" s="828" t="s">
        <v>1735</v>
      </c>
      <c r="G1095" s="771" t="s">
        <v>257</v>
      </c>
      <c r="H1095" s="772">
        <f>SUM(H1092+H1094+H1093)</f>
        <v>113.5</v>
      </c>
      <c r="I1095" s="309"/>
      <c r="J1095" s="829"/>
      <c r="K1095" s="161"/>
      <c r="L1095" s="45"/>
      <c r="M1095" s="830"/>
    </row>
    <row r="1096" spans="1:13" ht="20.399999999999999">
      <c r="A1096" s="819">
        <v>9</v>
      </c>
      <c r="B1096" s="831"/>
      <c r="C1096" s="819" t="s">
        <v>1737</v>
      </c>
      <c r="D1096" s="769" t="s">
        <v>1738</v>
      </c>
      <c r="E1096" s="735">
        <v>13</v>
      </c>
      <c r="F1096" s="828" t="s">
        <v>1739</v>
      </c>
      <c r="G1096" s="770" t="s">
        <v>21</v>
      </c>
      <c r="H1096" s="219"/>
      <c r="I1096" s="309"/>
      <c r="J1096" s="842" t="s">
        <v>1740</v>
      </c>
      <c r="K1096" s="829" t="s">
        <v>1709</v>
      </c>
      <c r="L1096" s="835">
        <v>1</v>
      </c>
      <c r="M1096" s="830"/>
    </row>
    <row r="1097" spans="1:13" ht="12.75" customHeight="1">
      <c r="A1097" s="819">
        <v>9</v>
      </c>
      <c r="B1097" s="831"/>
      <c r="C1097" s="819"/>
      <c r="D1097" s="769"/>
      <c r="E1097" s="735">
        <v>13</v>
      </c>
      <c r="F1097" s="828" t="s">
        <v>1739</v>
      </c>
      <c r="G1097" s="313" t="s">
        <v>278</v>
      </c>
      <c r="H1097" s="219">
        <v>85.1</v>
      </c>
      <c r="I1097" s="309"/>
      <c r="J1097" s="842"/>
      <c r="K1097" s="829"/>
      <c r="L1097" s="835"/>
      <c r="M1097" s="830"/>
    </row>
    <row r="1098" spans="1:13" ht="20.399999999999999">
      <c r="A1098" s="819">
        <v>9</v>
      </c>
      <c r="B1098" s="831"/>
      <c r="C1098" s="819"/>
      <c r="D1098" s="769"/>
      <c r="E1098" s="735">
        <v>13</v>
      </c>
      <c r="F1098" s="828" t="s">
        <v>1739</v>
      </c>
      <c r="G1098" s="313" t="s">
        <v>19</v>
      </c>
      <c r="H1098" s="219">
        <v>70.099999999999994</v>
      </c>
      <c r="I1098" s="309"/>
      <c r="J1098" s="829" t="s">
        <v>1740</v>
      </c>
      <c r="K1098" s="161"/>
      <c r="L1098" s="45"/>
      <c r="M1098" s="196"/>
    </row>
    <row r="1099" spans="1:13" ht="17.399999999999999" customHeight="1">
      <c r="A1099" s="819">
        <v>9</v>
      </c>
      <c r="B1099" s="831"/>
      <c r="C1099" s="819"/>
      <c r="D1099" s="769"/>
      <c r="E1099" s="735">
        <v>13</v>
      </c>
      <c r="F1099" s="828" t="s">
        <v>1739</v>
      </c>
      <c r="G1099" s="313" t="s">
        <v>1468</v>
      </c>
      <c r="H1099" s="219">
        <v>407.1</v>
      </c>
      <c r="I1099" s="309"/>
      <c r="J1099" s="829" t="s">
        <v>1741</v>
      </c>
      <c r="K1099" s="829" t="s">
        <v>1742</v>
      </c>
      <c r="L1099" s="843">
        <v>5</v>
      </c>
      <c r="M1099" s="830"/>
    </row>
    <row r="1100" spans="1:13" ht="12.75" customHeight="1">
      <c r="A1100" s="819">
        <v>9</v>
      </c>
      <c r="B1100" s="831"/>
      <c r="C1100" s="819"/>
      <c r="D1100" s="769"/>
      <c r="E1100" s="735">
        <v>13</v>
      </c>
      <c r="F1100" s="828" t="s">
        <v>1739</v>
      </c>
      <c r="G1100" s="771" t="s">
        <v>257</v>
      </c>
      <c r="H1100" s="772">
        <f>SUM(H1096+H1098+H1099+H1097)</f>
        <v>562.30000000000007</v>
      </c>
      <c r="I1100" s="309"/>
      <c r="J1100" s="829"/>
      <c r="K1100" s="161"/>
      <c r="L1100" s="45"/>
      <c r="M1100" s="830"/>
    </row>
    <row r="1101" spans="1:13" ht="12.75" customHeight="1">
      <c r="A1101" s="819">
        <v>9</v>
      </c>
      <c r="B1101" s="831"/>
      <c r="C1101" s="819" t="s">
        <v>1743</v>
      </c>
      <c r="D1101" s="769" t="s">
        <v>1744</v>
      </c>
      <c r="E1101" s="735">
        <v>32</v>
      </c>
      <c r="F1101" s="828" t="s">
        <v>1745</v>
      </c>
      <c r="G1101" s="487" t="s">
        <v>1746</v>
      </c>
      <c r="H1101" s="219">
        <v>7.3</v>
      </c>
      <c r="I1101" s="309"/>
      <c r="J1101" s="829" t="s">
        <v>1747</v>
      </c>
      <c r="K1101" s="829" t="s">
        <v>1748</v>
      </c>
      <c r="L1101" s="835">
        <v>100</v>
      </c>
      <c r="M1101" s="830"/>
    </row>
    <row r="1102" spans="1:13" ht="12.75" customHeight="1">
      <c r="A1102" s="819">
        <v>9</v>
      </c>
      <c r="B1102" s="831"/>
      <c r="C1102" s="819"/>
      <c r="D1102" s="769"/>
      <c r="E1102" s="735">
        <v>32</v>
      </c>
      <c r="F1102" s="828" t="s">
        <v>1745</v>
      </c>
      <c r="G1102" s="487" t="s">
        <v>1749</v>
      </c>
      <c r="H1102" s="219">
        <v>7.3</v>
      </c>
      <c r="I1102" s="309"/>
      <c r="J1102" s="829" t="s">
        <v>1747</v>
      </c>
      <c r="K1102" s="829" t="s">
        <v>1748</v>
      </c>
      <c r="L1102" s="835">
        <v>100</v>
      </c>
      <c r="M1102" s="830"/>
    </row>
    <row r="1103" spans="1:13" ht="12.75" customHeight="1">
      <c r="A1103" s="819">
        <v>9</v>
      </c>
      <c r="B1103" s="831"/>
      <c r="C1103" s="819"/>
      <c r="D1103" s="769"/>
      <c r="E1103" s="735">
        <v>32</v>
      </c>
      <c r="F1103" s="828" t="s">
        <v>1745</v>
      </c>
      <c r="G1103" s="770" t="s">
        <v>21</v>
      </c>
      <c r="H1103" s="219"/>
      <c r="I1103" s="309"/>
      <c r="J1103" s="829" t="s">
        <v>1747</v>
      </c>
      <c r="K1103" s="829" t="s">
        <v>1748</v>
      </c>
      <c r="L1103" s="835">
        <v>100</v>
      </c>
      <c r="M1103" s="830"/>
    </row>
    <row r="1104" spans="1:13" ht="12.75" customHeight="1">
      <c r="A1104" s="819">
        <v>9</v>
      </c>
      <c r="B1104" s="831"/>
      <c r="C1104" s="819"/>
      <c r="D1104" s="769"/>
      <c r="E1104" s="735">
        <v>32</v>
      </c>
      <c r="F1104" s="828" t="s">
        <v>1745</v>
      </c>
      <c r="G1104" s="313" t="s">
        <v>278</v>
      </c>
      <c r="H1104" s="219">
        <v>66.7</v>
      </c>
      <c r="I1104" s="309"/>
      <c r="J1104" s="829"/>
      <c r="K1104" s="161"/>
      <c r="L1104" s="45"/>
      <c r="M1104" s="844"/>
    </row>
    <row r="1105" spans="1:13" ht="12.75" customHeight="1">
      <c r="A1105" s="819">
        <v>9</v>
      </c>
      <c r="B1105" s="831"/>
      <c r="C1105" s="819"/>
      <c r="D1105" s="769"/>
      <c r="E1105" s="735">
        <v>32</v>
      </c>
      <c r="F1105" s="828" t="s">
        <v>1745</v>
      </c>
      <c r="G1105" s="313" t="s">
        <v>19</v>
      </c>
      <c r="H1105" s="219">
        <v>257</v>
      </c>
      <c r="I1105" s="309"/>
      <c r="J1105" s="829" t="s">
        <v>1747</v>
      </c>
      <c r="K1105" s="829" t="s">
        <v>1748</v>
      </c>
      <c r="L1105" s="835">
        <v>100</v>
      </c>
      <c r="M1105" s="830"/>
    </row>
    <row r="1106" spans="1:13" ht="13.2">
      <c r="A1106" s="819">
        <v>9</v>
      </c>
      <c r="B1106" s="831"/>
      <c r="C1106" s="819"/>
      <c r="D1106" s="769"/>
      <c r="E1106" s="773">
        <v>19</v>
      </c>
      <c r="F1106" s="828" t="s">
        <v>1750</v>
      </c>
      <c r="G1106" s="309" t="s">
        <v>21</v>
      </c>
      <c r="H1106" s="219"/>
      <c r="I1106" s="309"/>
      <c r="J1106" s="158"/>
      <c r="K1106" s="172"/>
      <c r="L1106" s="151"/>
      <c r="M1106" s="844"/>
    </row>
    <row r="1107" spans="1:13" ht="12.75" customHeight="1">
      <c r="A1107" s="819">
        <v>9</v>
      </c>
      <c r="B1107" s="831"/>
      <c r="C1107" s="819"/>
      <c r="D1107" s="769"/>
      <c r="E1107" s="773">
        <v>19</v>
      </c>
      <c r="F1107" s="828" t="s">
        <v>1750</v>
      </c>
      <c r="G1107" s="313" t="s">
        <v>278</v>
      </c>
      <c r="H1107" s="219">
        <v>11.9</v>
      </c>
      <c r="I1107" s="309"/>
      <c r="J1107" s="829" t="s">
        <v>1751</v>
      </c>
      <c r="K1107" s="829" t="s">
        <v>1752</v>
      </c>
      <c r="L1107" s="835">
        <v>165</v>
      </c>
      <c r="M1107" s="844"/>
    </row>
    <row r="1108" spans="1:13" ht="13.2">
      <c r="A1108" s="819">
        <v>9</v>
      </c>
      <c r="B1108" s="831"/>
      <c r="C1108" s="819"/>
      <c r="D1108" s="769"/>
      <c r="E1108" s="773">
        <v>21</v>
      </c>
      <c r="F1108" s="828" t="s">
        <v>1753</v>
      </c>
      <c r="G1108" s="770" t="s">
        <v>21</v>
      </c>
      <c r="H1108" s="219"/>
      <c r="I1108" s="309"/>
      <c r="J1108" s="829"/>
      <c r="K1108" s="161"/>
      <c r="L1108" s="45"/>
      <c r="M1108" s="844"/>
    </row>
    <row r="1109" spans="1:13" ht="12.75" customHeight="1">
      <c r="A1109" s="819">
        <v>9</v>
      </c>
      <c r="B1109" s="831"/>
      <c r="C1109" s="819"/>
      <c r="D1109" s="769"/>
      <c r="E1109" s="773">
        <v>21</v>
      </c>
      <c r="F1109" s="828" t="s">
        <v>1753</v>
      </c>
      <c r="G1109" s="313" t="s">
        <v>278</v>
      </c>
      <c r="H1109" s="219">
        <v>25.5</v>
      </c>
      <c r="I1109" s="309"/>
      <c r="J1109" s="829" t="s">
        <v>1754</v>
      </c>
      <c r="K1109" s="829" t="s">
        <v>1752</v>
      </c>
      <c r="L1109" s="835">
        <v>500</v>
      </c>
      <c r="M1109" s="844"/>
    </row>
    <row r="1110" spans="1:13" ht="13.2">
      <c r="A1110" s="819">
        <v>9</v>
      </c>
      <c r="B1110" s="831"/>
      <c r="C1110" s="819"/>
      <c r="D1110" s="769"/>
      <c r="E1110" s="773">
        <v>24</v>
      </c>
      <c r="F1110" s="828" t="s">
        <v>1755</v>
      </c>
      <c r="G1110" s="770" t="s">
        <v>21</v>
      </c>
      <c r="H1110" s="219"/>
      <c r="I1110" s="309"/>
      <c r="J1110" s="829"/>
      <c r="K1110" s="161"/>
      <c r="L1110" s="45"/>
      <c r="M1110" s="844"/>
    </row>
    <row r="1111" spans="1:13" ht="20.399999999999999">
      <c r="A1111" s="819">
        <v>9</v>
      </c>
      <c r="B1111" s="831"/>
      <c r="C1111" s="819"/>
      <c r="D1111" s="769"/>
      <c r="E1111" s="773">
        <v>24</v>
      </c>
      <c r="F1111" s="828" t="s">
        <v>1755</v>
      </c>
      <c r="G1111" s="313" t="s">
        <v>278</v>
      </c>
      <c r="H1111" s="219">
        <v>27.9</v>
      </c>
      <c r="I1111" s="309"/>
      <c r="J1111" s="829" t="s">
        <v>1756</v>
      </c>
      <c r="K1111" s="829" t="s">
        <v>1752</v>
      </c>
      <c r="L1111" s="835">
        <v>395</v>
      </c>
      <c r="M1111" s="844"/>
    </row>
    <row r="1112" spans="1:13" ht="13.2">
      <c r="A1112" s="819">
        <v>9</v>
      </c>
      <c r="B1112" s="831"/>
      <c r="C1112" s="819"/>
      <c r="D1112" s="769"/>
      <c r="E1112" s="773">
        <v>26</v>
      </c>
      <c r="F1112" s="828" t="s">
        <v>1757</v>
      </c>
      <c r="G1112" s="770" t="s">
        <v>21</v>
      </c>
      <c r="H1112" s="219"/>
      <c r="I1112" s="309"/>
      <c r="J1112" s="829"/>
      <c r="K1112" s="161"/>
      <c r="L1112" s="45"/>
      <c r="M1112" s="844"/>
    </row>
    <row r="1113" spans="1:13" ht="12.75" customHeight="1">
      <c r="A1113" s="819">
        <v>9</v>
      </c>
      <c r="B1113" s="831"/>
      <c r="C1113" s="819"/>
      <c r="D1113" s="769"/>
      <c r="E1113" s="773">
        <v>26</v>
      </c>
      <c r="F1113" s="828" t="s">
        <v>1757</v>
      </c>
      <c r="G1113" s="313" t="s">
        <v>278</v>
      </c>
      <c r="H1113" s="219">
        <v>23.7</v>
      </c>
      <c r="I1113" s="309"/>
      <c r="J1113" s="829" t="s">
        <v>1758</v>
      </c>
      <c r="K1113" s="829" t="s">
        <v>1759</v>
      </c>
      <c r="L1113" s="835">
        <v>500</v>
      </c>
      <c r="M1113" s="844"/>
    </row>
    <row r="1114" spans="1:13" ht="13.2">
      <c r="A1114" s="819">
        <v>9</v>
      </c>
      <c r="B1114" s="831"/>
      <c r="C1114" s="819"/>
      <c r="D1114" s="769"/>
      <c r="E1114" s="773">
        <v>27</v>
      </c>
      <c r="F1114" s="828" t="s">
        <v>1760</v>
      </c>
      <c r="G1114" s="770" t="s">
        <v>21</v>
      </c>
      <c r="H1114" s="219"/>
      <c r="I1114" s="309"/>
      <c r="J1114" s="829"/>
      <c r="K1114" s="161"/>
      <c r="L1114" s="45"/>
      <c r="M1114" s="844"/>
    </row>
    <row r="1115" spans="1:13" ht="12.75" customHeight="1">
      <c r="A1115" s="819">
        <v>9</v>
      </c>
      <c r="B1115" s="831"/>
      <c r="C1115" s="819"/>
      <c r="D1115" s="769"/>
      <c r="E1115" s="773">
        <v>27</v>
      </c>
      <c r="F1115" s="828" t="s">
        <v>1760</v>
      </c>
      <c r="G1115" s="313" t="s">
        <v>278</v>
      </c>
      <c r="H1115" s="219">
        <v>28.4</v>
      </c>
      <c r="I1115" s="309"/>
      <c r="J1115" s="829" t="s">
        <v>1761</v>
      </c>
      <c r="K1115" s="829" t="s">
        <v>1762</v>
      </c>
      <c r="L1115" s="835">
        <v>400</v>
      </c>
      <c r="M1115" s="844"/>
    </row>
    <row r="1116" spans="1:13" ht="13.2">
      <c r="A1116" s="819">
        <v>9</v>
      </c>
      <c r="B1116" s="831"/>
      <c r="C1116" s="819"/>
      <c r="D1116" s="769"/>
      <c r="E1116" s="773">
        <v>28</v>
      </c>
      <c r="F1116" s="828" t="s">
        <v>1763</v>
      </c>
      <c r="G1116" s="770" t="s">
        <v>21</v>
      </c>
      <c r="H1116" s="219"/>
      <c r="I1116" s="309"/>
      <c r="J1116" s="829"/>
      <c r="K1116" s="161"/>
      <c r="L1116" s="45"/>
      <c r="M1116" s="844"/>
    </row>
    <row r="1117" spans="1:13" ht="12.75" customHeight="1">
      <c r="A1117" s="819">
        <v>9</v>
      </c>
      <c r="B1117" s="831"/>
      <c r="C1117" s="819"/>
      <c r="D1117" s="769"/>
      <c r="E1117" s="773">
        <v>28</v>
      </c>
      <c r="F1117" s="828" t="s">
        <v>1763</v>
      </c>
      <c r="G1117" s="313" t="s">
        <v>278</v>
      </c>
      <c r="H1117" s="219">
        <v>24.2</v>
      </c>
      <c r="I1117" s="309"/>
      <c r="J1117" s="829" t="s">
        <v>1764</v>
      </c>
      <c r="K1117" s="829" t="s">
        <v>1765</v>
      </c>
      <c r="L1117" s="835">
        <v>560</v>
      </c>
      <c r="M1117" s="844"/>
    </row>
    <row r="1118" spans="1:13" ht="13.2">
      <c r="A1118" s="819">
        <v>9</v>
      </c>
      <c r="B1118" s="831"/>
      <c r="C1118" s="819"/>
      <c r="D1118" s="769"/>
      <c r="E1118" s="773">
        <v>29</v>
      </c>
      <c r="F1118" s="828" t="s">
        <v>1766</v>
      </c>
      <c r="G1118" s="770" t="s">
        <v>21</v>
      </c>
      <c r="H1118" s="219"/>
      <c r="I1118" s="309"/>
      <c r="J1118" s="829"/>
      <c r="K1118" s="161"/>
      <c r="L1118" s="45"/>
      <c r="M1118" s="844"/>
    </row>
    <row r="1119" spans="1:13" ht="20.399999999999999">
      <c r="A1119" s="819">
        <v>9</v>
      </c>
      <c r="B1119" s="831"/>
      <c r="C1119" s="819"/>
      <c r="D1119" s="769"/>
      <c r="E1119" s="773">
        <v>29</v>
      </c>
      <c r="F1119" s="828" t="s">
        <v>1766</v>
      </c>
      <c r="G1119" s="313" t="s">
        <v>278</v>
      </c>
      <c r="H1119" s="219">
        <v>25.2</v>
      </c>
      <c r="I1119" s="309"/>
      <c r="J1119" s="829" t="s">
        <v>1767</v>
      </c>
      <c r="K1119" s="829" t="s">
        <v>1752</v>
      </c>
      <c r="L1119" s="835">
        <v>594</v>
      </c>
      <c r="M1119" s="844"/>
    </row>
    <row r="1120" spans="1:13" ht="12.75" customHeight="1">
      <c r="A1120" s="819">
        <v>9</v>
      </c>
      <c r="B1120" s="831"/>
      <c r="C1120" s="819"/>
      <c r="D1120" s="769"/>
      <c r="E1120" s="766"/>
      <c r="F1120" s="828"/>
      <c r="G1120" s="771" t="s">
        <v>257</v>
      </c>
      <c r="H1120" s="772">
        <f>SUM(H1101:H1119)</f>
        <v>505.09999999999991</v>
      </c>
      <c r="I1120" s="309"/>
      <c r="J1120" s="829"/>
      <c r="K1120" s="161"/>
      <c r="L1120" s="45"/>
      <c r="M1120" s="830"/>
    </row>
    <row r="1121" spans="1:13" ht="12.75" customHeight="1">
      <c r="A1121" s="819">
        <v>9</v>
      </c>
      <c r="B1121" s="831"/>
      <c r="C1121" s="819" t="s">
        <v>1768</v>
      </c>
      <c r="D1121" s="769" t="s">
        <v>1769</v>
      </c>
      <c r="E1121" s="766">
        <v>7</v>
      </c>
      <c r="F1121" s="828" t="s">
        <v>1770</v>
      </c>
      <c r="G1121" s="214" t="s">
        <v>19</v>
      </c>
      <c r="H1121" s="294">
        <v>764.5</v>
      </c>
      <c r="I1121" s="309"/>
      <c r="J1121" s="829" t="s">
        <v>1771</v>
      </c>
      <c r="K1121" s="829" t="s">
        <v>379</v>
      </c>
      <c r="L1121" s="835">
        <v>100</v>
      </c>
      <c r="M1121" s="830"/>
    </row>
    <row r="1122" spans="1:13" ht="12.75" customHeight="1">
      <c r="A1122" s="819">
        <v>9</v>
      </c>
      <c r="B1122" s="831"/>
      <c r="C1122" s="819"/>
      <c r="D1122" s="769"/>
      <c r="E1122" s="766">
        <v>7</v>
      </c>
      <c r="F1122" s="828" t="s">
        <v>1770</v>
      </c>
      <c r="G1122" s="770" t="s">
        <v>21</v>
      </c>
      <c r="H1122" s="294"/>
      <c r="I1122" s="309"/>
      <c r="J1122" s="829"/>
      <c r="K1122" s="161"/>
      <c r="L1122" s="45"/>
      <c r="M1122" s="830"/>
    </row>
    <row r="1123" spans="1:13" ht="12.75" customHeight="1">
      <c r="A1123" s="819">
        <v>9</v>
      </c>
      <c r="B1123" s="831"/>
      <c r="C1123" s="819"/>
      <c r="D1123" s="845" t="s">
        <v>1772</v>
      </c>
      <c r="E1123" s="766">
        <v>7</v>
      </c>
      <c r="F1123" s="828" t="s">
        <v>1770</v>
      </c>
      <c r="G1123" s="487" t="s">
        <v>21</v>
      </c>
      <c r="H1123" s="294"/>
      <c r="I1123" s="309"/>
      <c r="J1123" s="829"/>
      <c r="K1123" s="161"/>
      <c r="L1123" s="45"/>
      <c r="M1123" s="830"/>
    </row>
    <row r="1124" spans="1:13" ht="12.75" customHeight="1">
      <c r="A1124" s="819">
        <v>9</v>
      </c>
      <c r="B1124" s="831"/>
      <c r="C1124" s="819"/>
      <c r="D1124" s="845" t="s">
        <v>1773</v>
      </c>
      <c r="E1124" s="766">
        <v>7</v>
      </c>
      <c r="F1124" s="828" t="s">
        <v>1770</v>
      </c>
      <c r="G1124" s="487" t="s">
        <v>21</v>
      </c>
      <c r="H1124" s="294"/>
      <c r="I1124" s="309"/>
      <c r="J1124" s="829"/>
      <c r="K1124" s="161"/>
      <c r="L1124" s="45"/>
      <c r="M1124" s="830"/>
    </row>
    <row r="1125" spans="1:13" ht="12.75" customHeight="1">
      <c r="A1125" s="819">
        <v>9</v>
      </c>
      <c r="B1125" s="831"/>
      <c r="C1125" s="819"/>
      <c r="D1125" s="845" t="s">
        <v>1774</v>
      </c>
      <c r="E1125" s="766">
        <v>7</v>
      </c>
      <c r="F1125" s="828" t="s">
        <v>1770</v>
      </c>
      <c r="G1125" s="487" t="s">
        <v>21</v>
      </c>
      <c r="H1125" s="294"/>
      <c r="I1125" s="309"/>
      <c r="J1125" s="829"/>
      <c r="K1125" s="161"/>
      <c r="L1125" s="45"/>
      <c r="M1125" s="830"/>
    </row>
    <row r="1126" spans="1:13" ht="12.75" customHeight="1">
      <c r="A1126" s="819">
        <v>9</v>
      </c>
      <c r="B1126" s="831"/>
      <c r="C1126" s="819"/>
      <c r="D1126" s="769"/>
      <c r="E1126" s="766">
        <v>7</v>
      </c>
      <c r="F1126" s="828" t="s">
        <v>1770</v>
      </c>
      <c r="G1126" s="210" t="s">
        <v>23</v>
      </c>
      <c r="H1126" s="728"/>
      <c r="I1126" s="309"/>
      <c r="J1126" s="829"/>
      <c r="K1126" s="161"/>
      <c r="L1126" s="45"/>
      <c r="M1126" s="830"/>
    </row>
    <row r="1127" spans="1:13" ht="12.75" customHeight="1">
      <c r="A1127" s="819">
        <v>9</v>
      </c>
      <c r="B1127" s="831"/>
      <c r="C1127" s="819"/>
      <c r="D1127" s="769"/>
      <c r="E1127" s="766">
        <v>7</v>
      </c>
      <c r="F1127" s="828" t="s">
        <v>1770</v>
      </c>
      <c r="G1127" s="771" t="s">
        <v>257</v>
      </c>
      <c r="H1127" s="772">
        <f>SUM(H1121:H1126)</f>
        <v>764.5</v>
      </c>
      <c r="I1127" s="309"/>
      <c r="J1127" s="829"/>
      <c r="K1127" s="161"/>
      <c r="L1127" s="45"/>
      <c r="M1127" s="830"/>
    </row>
    <row r="1128" spans="1:13" ht="26.4" customHeight="1">
      <c r="A1128" s="819">
        <v>9</v>
      </c>
      <c r="B1128" s="831"/>
      <c r="C1128" s="819" t="s">
        <v>1775</v>
      </c>
      <c r="D1128" s="769" t="s">
        <v>1776</v>
      </c>
      <c r="E1128" s="214">
        <v>6</v>
      </c>
      <c r="F1128" s="819" t="s">
        <v>1777</v>
      </c>
      <c r="G1128" s="487" t="s">
        <v>21</v>
      </c>
      <c r="H1128" s="219"/>
      <c r="I1128" s="309"/>
      <c r="J1128" s="158"/>
      <c r="K1128" s="161"/>
      <c r="L1128" s="45"/>
      <c r="M1128" s="830"/>
    </row>
    <row r="1129" spans="1:13" ht="12.75" customHeight="1">
      <c r="A1129" s="819">
        <v>9</v>
      </c>
      <c r="B1129" s="831"/>
      <c r="C1129" s="819"/>
      <c r="D1129" s="769"/>
      <c r="E1129" s="214">
        <v>6</v>
      </c>
      <c r="F1129" s="819" t="s">
        <v>1777</v>
      </c>
      <c r="G1129" s="313" t="s">
        <v>278</v>
      </c>
      <c r="H1129" s="219">
        <v>0.7</v>
      </c>
      <c r="I1129" s="309"/>
      <c r="J1129" s="829" t="s">
        <v>1778</v>
      </c>
      <c r="K1129" s="829" t="s">
        <v>1779</v>
      </c>
      <c r="L1129" s="835">
        <v>100</v>
      </c>
      <c r="M1129" s="830"/>
    </row>
    <row r="1130" spans="1:13" ht="12.75" customHeight="1">
      <c r="A1130" s="819">
        <v>9</v>
      </c>
      <c r="B1130" s="831"/>
      <c r="C1130" s="819"/>
      <c r="D1130" s="769"/>
      <c r="E1130" s="766">
        <v>6</v>
      </c>
      <c r="F1130" s="828" t="s">
        <v>1777</v>
      </c>
      <c r="G1130" s="771" t="s">
        <v>257</v>
      </c>
      <c r="H1130" s="772">
        <f>SUM(H1128:H1129)</f>
        <v>0.7</v>
      </c>
      <c r="I1130" s="309"/>
      <c r="J1130" s="829"/>
      <c r="K1130" s="161"/>
      <c r="L1130" s="45"/>
      <c r="M1130" s="830"/>
    </row>
    <row r="1131" spans="1:13" ht="12.75" customHeight="1">
      <c r="A1131" s="819">
        <v>9</v>
      </c>
      <c r="B1131" s="831"/>
      <c r="C1131" s="819" t="s">
        <v>1780</v>
      </c>
      <c r="D1131" s="769" t="s">
        <v>1781</v>
      </c>
      <c r="E1131" s="773" t="s">
        <v>1782</v>
      </c>
      <c r="F1131" s="828" t="s">
        <v>1783</v>
      </c>
      <c r="G1131" s="210" t="s">
        <v>21</v>
      </c>
      <c r="H1131" s="219"/>
      <c r="I1131" s="309"/>
      <c r="J1131" s="158"/>
      <c r="K1131" s="161"/>
      <c r="L1131" s="45"/>
      <c r="M1131" s="807"/>
    </row>
    <row r="1132" spans="1:13" ht="12.75" customHeight="1">
      <c r="A1132" s="819">
        <v>9</v>
      </c>
      <c r="B1132" s="831"/>
      <c r="C1132" s="819"/>
      <c r="D1132" s="769"/>
      <c r="E1132" s="773" t="s">
        <v>1782</v>
      </c>
      <c r="F1132" s="828" t="s">
        <v>1783</v>
      </c>
      <c r="G1132" s="313" t="s">
        <v>278</v>
      </c>
      <c r="H1132" s="219">
        <v>0.2</v>
      </c>
      <c r="I1132" s="309"/>
      <c r="J1132" s="829" t="s">
        <v>1784</v>
      </c>
      <c r="K1132" s="829" t="s">
        <v>1709</v>
      </c>
      <c r="L1132" s="835">
        <v>1</v>
      </c>
      <c r="M1132" s="844" t="s">
        <v>222</v>
      </c>
    </row>
    <row r="1133" spans="1:13" ht="12.75" customHeight="1">
      <c r="A1133" s="819">
        <v>9</v>
      </c>
      <c r="B1133" s="831"/>
      <c r="C1133" s="819"/>
      <c r="D1133" s="769"/>
      <c r="E1133" s="773" t="s">
        <v>1785</v>
      </c>
      <c r="F1133" s="828" t="s">
        <v>1786</v>
      </c>
      <c r="G1133" s="210" t="s">
        <v>21</v>
      </c>
      <c r="H1133" s="219"/>
      <c r="I1133" s="309"/>
      <c r="J1133" s="829"/>
      <c r="K1133" s="161"/>
      <c r="L1133" s="45"/>
      <c r="M1133" s="844"/>
    </row>
    <row r="1134" spans="1:13" ht="12.75" customHeight="1">
      <c r="A1134" s="819">
        <v>9</v>
      </c>
      <c r="B1134" s="831"/>
      <c r="C1134" s="819"/>
      <c r="D1134" s="769"/>
      <c r="E1134" s="773" t="s">
        <v>1785</v>
      </c>
      <c r="F1134" s="828" t="s">
        <v>1786</v>
      </c>
      <c r="G1134" s="313" t="s">
        <v>278</v>
      </c>
      <c r="H1134" s="219">
        <v>2.8</v>
      </c>
      <c r="I1134" s="309"/>
      <c r="J1134" s="141" t="s">
        <v>1787</v>
      </c>
      <c r="K1134" s="829" t="s">
        <v>1709</v>
      </c>
      <c r="L1134" s="835">
        <v>1</v>
      </c>
      <c r="M1134" s="844" t="s">
        <v>562</v>
      </c>
    </row>
    <row r="1135" spans="1:13" ht="12.75" customHeight="1">
      <c r="A1135" s="819">
        <v>9</v>
      </c>
      <c r="B1135" s="831"/>
      <c r="C1135" s="819"/>
      <c r="D1135" s="769"/>
      <c r="E1135" s="773" t="s">
        <v>1788</v>
      </c>
      <c r="F1135" s="828" t="s">
        <v>1789</v>
      </c>
      <c r="G1135" s="210" t="s">
        <v>21</v>
      </c>
      <c r="H1135" s="219"/>
      <c r="I1135" s="309"/>
      <c r="J1135" s="141"/>
      <c r="K1135" s="161"/>
      <c r="L1135" s="45"/>
      <c r="M1135" s="844"/>
    </row>
    <row r="1136" spans="1:13" ht="12.75" customHeight="1">
      <c r="A1136" s="819">
        <v>9</v>
      </c>
      <c r="B1136" s="831"/>
      <c r="C1136" s="819"/>
      <c r="D1136" s="769"/>
      <c r="E1136" s="773" t="s">
        <v>1788</v>
      </c>
      <c r="F1136" s="828" t="s">
        <v>1789</v>
      </c>
      <c r="G1136" s="313" t="s">
        <v>278</v>
      </c>
      <c r="H1136" s="219">
        <v>0.1</v>
      </c>
      <c r="I1136" s="309"/>
      <c r="J1136" s="846" t="s">
        <v>1790</v>
      </c>
      <c r="K1136" s="829" t="s">
        <v>1709</v>
      </c>
      <c r="L1136" s="835">
        <v>1</v>
      </c>
      <c r="M1136" s="844" t="s">
        <v>1657</v>
      </c>
    </row>
    <row r="1137" spans="1:13" ht="12.75" customHeight="1">
      <c r="A1137" s="819">
        <v>9</v>
      </c>
      <c r="B1137" s="831"/>
      <c r="C1137" s="819"/>
      <c r="D1137" s="769"/>
      <c r="E1137" s="773" t="s">
        <v>1791</v>
      </c>
      <c r="F1137" s="828" t="s">
        <v>1792</v>
      </c>
      <c r="G1137" s="214" t="s">
        <v>19</v>
      </c>
      <c r="H1137" s="219">
        <v>32.1</v>
      </c>
      <c r="I1137" s="309"/>
      <c r="J1137" s="846"/>
      <c r="K1137" s="161"/>
      <c r="L1137" s="45"/>
      <c r="M1137" s="844"/>
    </row>
    <row r="1138" spans="1:13" ht="12.75" customHeight="1">
      <c r="A1138" s="819">
        <v>9</v>
      </c>
      <c r="B1138" s="831"/>
      <c r="C1138" s="819"/>
      <c r="D1138" s="769"/>
      <c r="E1138" s="773" t="s">
        <v>1793</v>
      </c>
      <c r="F1138" s="828" t="s">
        <v>1794</v>
      </c>
      <c r="G1138" s="210" t="s">
        <v>21</v>
      </c>
      <c r="H1138" s="219"/>
      <c r="I1138" s="309"/>
      <c r="J1138" s="141" t="s">
        <v>1795</v>
      </c>
      <c r="K1138" s="829" t="s">
        <v>1709</v>
      </c>
      <c r="L1138" s="835">
        <v>1</v>
      </c>
      <c r="M1138" s="844" t="s">
        <v>67</v>
      </c>
    </row>
    <row r="1139" spans="1:13" ht="12.75" customHeight="1">
      <c r="A1139" s="819">
        <v>9</v>
      </c>
      <c r="B1139" s="831"/>
      <c r="C1139" s="819"/>
      <c r="D1139" s="769"/>
      <c r="E1139" s="773" t="s">
        <v>1793</v>
      </c>
      <c r="F1139" s="828" t="s">
        <v>1794</v>
      </c>
      <c r="G1139" s="313" t="s">
        <v>278</v>
      </c>
      <c r="H1139" s="219">
        <v>0.1</v>
      </c>
      <c r="I1139" s="309"/>
      <c r="J1139" s="144" t="s">
        <v>1796</v>
      </c>
      <c r="K1139" s="829" t="s">
        <v>1709</v>
      </c>
      <c r="L1139" s="835">
        <v>1</v>
      </c>
      <c r="M1139" s="844" t="s">
        <v>373</v>
      </c>
    </row>
    <row r="1140" spans="1:13" ht="12.75" customHeight="1">
      <c r="A1140" s="819">
        <v>9</v>
      </c>
      <c r="B1140" s="831"/>
      <c r="C1140" s="819"/>
      <c r="D1140" s="769"/>
      <c r="E1140" s="773" t="s">
        <v>1797</v>
      </c>
      <c r="F1140" s="828" t="s">
        <v>1798</v>
      </c>
      <c r="G1140" s="210" t="s">
        <v>21</v>
      </c>
      <c r="H1140" s="219"/>
      <c r="I1140" s="309"/>
      <c r="J1140" s="144"/>
      <c r="K1140" s="161"/>
      <c r="L1140" s="45"/>
      <c r="M1140" s="844"/>
    </row>
    <row r="1141" spans="1:13" ht="12.75" customHeight="1">
      <c r="A1141" s="819">
        <v>9</v>
      </c>
      <c r="B1141" s="831"/>
      <c r="C1141" s="819"/>
      <c r="D1141" s="769"/>
      <c r="E1141" s="773" t="s">
        <v>1797</v>
      </c>
      <c r="F1141" s="828" t="s">
        <v>1798</v>
      </c>
      <c r="G1141" s="313" t="s">
        <v>278</v>
      </c>
      <c r="H1141" s="219">
        <v>1.7</v>
      </c>
      <c r="I1141" s="309"/>
      <c r="J1141" s="144" t="s">
        <v>1799</v>
      </c>
      <c r="K1141" s="829" t="s">
        <v>1709</v>
      </c>
      <c r="L1141" s="835">
        <v>1</v>
      </c>
      <c r="M1141" s="844" t="s">
        <v>228</v>
      </c>
    </row>
    <row r="1142" spans="1:13" ht="12.75" customHeight="1">
      <c r="A1142" s="819">
        <v>9</v>
      </c>
      <c r="B1142" s="831"/>
      <c r="C1142" s="819"/>
      <c r="D1142" s="769"/>
      <c r="E1142" s="773" t="s">
        <v>1800</v>
      </c>
      <c r="F1142" s="828" t="s">
        <v>1801</v>
      </c>
      <c r="G1142" s="214" t="s">
        <v>19</v>
      </c>
      <c r="H1142" s="219">
        <v>14.5</v>
      </c>
      <c r="I1142" s="309"/>
      <c r="J1142" s="144"/>
      <c r="K1142" s="161"/>
      <c r="L1142" s="45"/>
      <c r="M1142" s="844"/>
    </row>
    <row r="1143" spans="1:13" ht="12.75" customHeight="1">
      <c r="A1143" s="819">
        <v>9</v>
      </c>
      <c r="B1143" s="831"/>
      <c r="C1143" s="819"/>
      <c r="D1143" s="769"/>
      <c r="E1143" s="773" t="s">
        <v>1802</v>
      </c>
      <c r="F1143" s="828" t="s">
        <v>1803</v>
      </c>
      <c r="G1143" s="210" t="s">
        <v>21</v>
      </c>
      <c r="H1143" s="219"/>
      <c r="I1143" s="309"/>
      <c r="J1143" s="829" t="s">
        <v>1804</v>
      </c>
      <c r="K1143" s="829" t="s">
        <v>1709</v>
      </c>
      <c r="L1143" s="835">
        <v>1</v>
      </c>
      <c r="M1143" s="844" t="s">
        <v>192</v>
      </c>
    </row>
    <row r="1144" spans="1:13" ht="12.75" customHeight="1">
      <c r="A1144" s="819">
        <v>9</v>
      </c>
      <c r="B1144" s="831"/>
      <c r="C1144" s="819"/>
      <c r="D1144" s="769"/>
      <c r="E1144" s="773" t="s">
        <v>1802</v>
      </c>
      <c r="F1144" s="828" t="s">
        <v>1803</v>
      </c>
      <c r="G1144" s="313" t="s">
        <v>278</v>
      </c>
      <c r="H1144" s="219">
        <v>1.5</v>
      </c>
      <c r="I1144" s="309"/>
      <c r="J1144" s="145" t="s">
        <v>1805</v>
      </c>
      <c r="K1144" s="829" t="s">
        <v>1709</v>
      </c>
      <c r="L1144" s="835">
        <v>1</v>
      </c>
      <c r="M1144" s="844" t="s">
        <v>185</v>
      </c>
    </row>
    <row r="1145" spans="1:13" ht="12.75" customHeight="1">
      <c r="A1145" s="819">
        <v>9</v>
      </c>
      <c r="B1145" s="831"/>
      <c r="C1145" s="819"/>
      <c r="D1145" s="769"/>
      <c r="E1145" s="773" t="s">
        <v>1806</v>
      </c>
      <c r="F1145" s="828" t="s">
        <v>1807</v>
      </c>
      <c r="G1145" s="210" t="s">
        <v>21</v>
      </c>
      <c r="H1145" s="219"/>
      <c r="I1145" s="309"/>
      <c r="J1145" s="145"/>
      <c r="K1145" s="161"/>
      <c r="L1145" s="45"/>
      <c r="M1145" s="844"/>
    </row>
    <row r="1146" spans="1:13" ht="12.75" customHeight="1">
      <c r="A1146" s="819">
        <v>9</v>
      </c>
      <c r="B1146" s="831"/>
      <c r="C1146" s="819"/>
      <c r="D1146" s="769"/>
      <c r="E1146" s="773" t="s">
        <v>1806</v>
      </c>
      <c r="F1146" s="828" t="s">
        <v>1807</v>
      </c>
      <c r="G1146" s="313" t="s">
        <v>278</v>
      </c>
      <c r="H1146" s="219">
        <v>0.4</v>
      </c>
      <c r="I1146" s="309"/>
      <c r="J1146" s="141" t="s">
        <v>1808</v>
      </c>
      <c r="K1146" s="829" t="s">
        <v>1709</v>
      </c>
      <c r="L1146" s="835">
        <v>1</v>
      </c>
      <c r="M1146" s="844" t="s">
        <v>200</v>
      </c>
    </row>
    <row r="1147" spans="1:13" ht="12.75" customHeight="1">
      <c r="A1147" s="819">
        <v>9</v>
      </c>
      <c r="B1147" s="831"/>
      <c r="C1147" s="819"/>
      <c r="D1147" s="769"/>
      <c r="E1147" s="773" t="s">
        <v>1809</v>
      </c>
      <c r="F1147" s="828" t="s">
        <v>1810</v>
      </c>
      <c r="G1147" s="210" t="s">
        <v>21</v>
      </c>
      <c r="H1147" s="219"/>
      <c r="I1147" s="309"/>
      <c r="J1147" s="141"/>
      <c r="K1147" s="161"/>
      <c r="L1147" s="45"/>
      <c r="M1147" s="844"/>
    </row>
    <row r="1148" spans="1:13" ht="12.75" customHeight="1">
      <c r="A1148" s="819">
        <v>9</v>
      </c>
      <c r="B1148" s="831"/>
      <c r="C1148" s="819"/>
      <c r="D1148" s="769"/>
      <c r="E1148" s="773" t="s">
        <v>1809</v>
      </c>
      <c r="F1148" s="828" t="s">
        <v>1810</v>
      </c>
      <c r="G1148" s="313" t="s">
        <v>278</v>
      </c>
      <c r="H1148" s="219">
        <v>0.6</v>
      </c>
      <c r="I1148" s="309"/>
      <c r="J1148" s="146" t="s">
        <v>1811</v>
      </c>
      <c r="K1148" s="829" t="s">
        <v>1709</v>
      </c>
      <c r="L1148" s="835">
        <v>1</v>
      </c>
      <c r="M1148" s="844" t="s">
        <v>227</v>
      </c>
    </row>
    <row r="1149" spans="1:13" ht="12.75" customHeight="1">
      <c r="A1149" s="819">
        <v>9</v>
      </c>
      <c r="B1149" s="831"/>
      <c r="C1149" s="819"/>
      <c r="D1149" s="769"/>
      <c r="E1149" s="766"/>
      <c r="F1149" s="828"/>
      <c r="G1149" s="768" t="s">
        <v>1597</v>
      </c>
      <c r="H1149" s="434">
        <f>SUM(H1137+H1142)</f>
        <v>46.6</v>
      </c>
      <c r="I1149" s="309"/>
      <c r="J1149" s="829"/>
      <c r="K1149" s="161"/>
      <c r="L1149" s="45"/>
      <c r="M1149" s="844"/>
    </row>
    <row r="1150" spans="1:13" ht="12.75" customHeight="1">
      <c r="A1150" s="819">
        <v>9</v>
      </c>
      <c r="B1150" s="831"/>
      <c r="C1150" s="819"/>
      <c r="D1150" s="769"/>
      <c r="E1150" s="766"/>
      <c r="F1150" s="828"/>
      <c r="G1150" s="768" t="s">
        <v>1598</v>
      </c>
      <c r="H1150" s="434">
        <f>SUM(H1131+H1133+H1135+H1138+H1140+H1143+H1145+H1147)</f>
        <v>0</v>
      </c>
      <c r="I1150" s="309"/>
      <c r="J1150" s="829"/>
      <c r="K1150" s="161"/>
      <c r="L1150" s="45"/>
      <c r="M1150" s="196"/>
    </row>
    <row r="1151" spans="1:13" ht="12.75" customHeight="1">
      <c r="A1151" s="819">
        <v>9</v>
      </c>
      <c r="B1151" s="831"/>
      <c r="C1151" s="819"/>
      <c r="D1151" s="769"/>
      <c r="E1151" s="766"/>
      <c r="F1151" s="828"/>
      <c r="G1151" s="768" t="s">
        <v>1690</v>
      </c>
      <c r="H1151" s="434">
        <f>SUM(H1132,H1134,H1136,H1139,H1141,H1144,H1146,H1148)</f>
        <v>7.4</v>
      </c>
      <c r="I1151" s="309"/>
      <c r="J1151" s="829"/>
      <c r="K1151" s="161"/>
      <c r="L1151" s="45"/>
      <c r="M1151" s="196"/>
    </row>
    <row r="1152" spans="1:13" ht="12.75" customHeight="1">
      <c r="A1152" s="819">
        <v>9</v>
      </c>
      <c r="B1152" s="831"/>
      <c r="C1152" s="819"/>
      <c r="D1152" s="769"/>
      <c r="E1152" s="766"/>
      <c r="F1152" s="828"/>
      <c r="G1152" s="763" t="s">
        <v>257</v>
      </c>
      <c r="H1152" s="764">
        <f>SUM(H1149+H1150+H1151)</f>
        <v>54</v>
      </c>
      <c r="I1152" s="309"/>
      <c r="J1152" s="829"/>
      <c r="K1152" s="161"/>
      <c r="L1152" s="45"/>
      <c r="M1152" s="143"/>
    </row>
    <row r="1153" spans="1:13" ht="21.75" customHeight="1">
      <c r="A1153" s="819">
        <v>9</v>
      </c>
      <c r="B1153" s="831"/>
      <c r="C1153" s="819" t="s">
        <v>1812</v>
      </c>
      <c r="D1153" s="769" t="s">
        <v>1813</v>
      </c>
      <c r="E1153" s="766">
        <v>38</v>
      </c>
      <c r="F1153" s="828" t="s">
        <v>1814</v>
      </c>
      <c r="G1153" s="210" t="s">
        <v>21</v>
      </c>
      <c r="H1153" s="219"/>
      <c r="I1153" s="309"/>
      <c r="J1153" s="155"/>
      <c r="K1153" s="161"/>
      <c r="L1153" s="45"/>
      <c r="M1153" s="196"/>
    </row>
    <row r="1154" spans="1:13" ht="12.75" customHeight="1">
      <c r="A1154" s="819">
        <v>9</v>
      </c>
      <c r="B1154" s="831"/>
      <c r="C1154" s="819"/>
      <c r="D1154" s="769"/>
      <c r="E1154" s="766">
        <v>38</v>
      </c>
      <c r="F1154" s="828" t="s">
        <v>1814</v>
      </c>
      <c r="G1154" s="313" t="s">
        <v>278</v>
      </c>
      <c r="H1154" s="219">
        <v>87.5</v>
      </c>
      <c r="I1154" s="309"/>
      <c r="J1154" s="147" t="s">
        <v>1815</v>
      </c>
      <c r="K1154" s="829" t="s">
        <v>1709</v>
      </c>
      <c r="L1154" s="835">
        <v>1</v>
      </c>
      <c r="M1154" s="143"/>
    </row>
    <row r="1155" spans="1:13" ht="12.75" customHeight="1">
      <c r="A1155" s="819">
        <v>9</v>
      </c>
      <c r="B1155" s="831"/>
      <c r="C1155" s="819"/>
      <c r="D1155" s="769"/>
      <c r="E1155" s="766">
        <v>38</v>
      </c>
      <c r="F1155" s="828" t="s">
        <v>1814</v>
      </c>
      <c r="G1155" s="214" t="s">
        <v>19</v>
      </c>
      <c r="H1155" s="219">
        <v>237.4</v>
      </c>
      <c r="I1155" s="309"/>
      <c r="J1155" s="147" t="s">
        <v>1815</v>
      </c>
      <c r="K1155" s="161"/>
      <c r="L1155" s="45"/>
      <c r="M1155" s="143"/>
    </row>
    <row r="1156" spans="1:13" ht="12.75" customHeight="1">
      <c r="A1156" s="819">
        <v>9</v>
      </c>
      <c r="B1156" s="831"/>
      <c r="C1156" s="819"/>
      <c r="D1156" s="769"/>
      <c r="E1156" s="766"/>
      <c r="F1156" s="828"/>
      <c r="G1156" s="771" t="s">
        <v>257</v>
      </c>
      <c r="H1156" s="772">
        <f>SUM(H1153+H1155+H1154)</f>
        <v>324.89999999999998</v>
      </c>
      <c r="I1156" s="309"/>
      <c r="J1156" s="829"/>
      <c r="K1156" s="161"/>
      <c r="L1156" s="45"/>
      <c r="M1156" s="830"/>
    </row>
    <row r="1157" spans="1:13" ht="12.75" customHeight="1">
      <c r="A1157" s="819">
        <v>9</v>
      </c>
      <c r="B1157" s="831"/>
      <c r="C1157" s="819" t="s">
        <v>1816</v>
      </c>
      <c r="D1157" s="769" t="s">
        <v>1817</v>
      </c>
      <c r="E1157" s="766">
        <v>17</v>
      </c>
      <c r="F1157" s="828" t="s">
        <v>1818</v>
      </c>
      <c r="G1157" s="210" t="s">
        <v>21</v>
      </c>
      <c r="H1157" s="219"/>
      <c r="I1157" s="309"/>
      <c r="J1157" s="156"/>
      <c r="K1157" s="162"/>
      <c r="L1157" s="52"/>
      <c r="M1157" s="844"/>
    </row>
    <row r="1158" spans="1:13" ht="12.75" customHeight="1">
      <c r="A1158" s="819">
        <v>9</v>
      </c>
      <c r="B1158" s="831"/>
      <c r="C1158" s="819"/>
      <c r="D1158" s="769"/>
      <c r="E1158" s="766">
        <v>17</v>
      </c>
      <c r="F1158" s="828" t="s">
        <v>1818</v>
      </c>
      <c r="G1158" s="313" t="s">
        <v>278</v>
      </c>
      <c r="H1158" s="219">
        <v>30</v>
      </c>
      <c r="I1158" s="309"/>
      <c r="J1158" s="842" t="s">
        <v>659</v>
      </c>
      <c r="K1158" s="842" t="s">
        <v>1819</v>
      </c>
      <c r="L1158" s="843">
        <v>5</v>
      </c>
      <c r="M1158" s="830"/>
    </row>
    <row r="1159" spans="1:13" ht="12.75" customHeight="1">
      <c r="A1159" s="819">
        <v>9</v>
      </c>
      <c r="B1159" s="831"/>
      <c r="C1159" s="819"/>
      <c r="D1159" s="769"/>
      <c r="E1159" s="766"/>
      <c r="F1159" s="828"/>
      <c r="G1159" s="771" t="s">
        <v>257</v>
      </c>
      <c r="H1159" s="772">
        <f>SUM(H1157:H1158)</f>
        <v>30</v>
      </c>
      <c r="I1159" s="309"/>
      <c r="J1159" s="842"/>
      <c r="K1159" s="162"/>
      <c r="L1159" s="52"/>
      <c r="M1159" s="830"/>
    </row>
    <row r="1160" spans="1:13" ht="22.2" customHeight="1">
      <c r="A1160" s="819">
        <v>9</v>
      </c>
      <c r="B1160" s="831"/>
      <c r="C1160" s="819" t="s">
        <v>1820</v>
      </c>
      <c r="D1160" s="209" t="s">
        <v>1821</v>
      </c>
      <c r="E1160" s="214">
        <v>7</v>
      </c>
      <c r="F1160" s="819" t="s">
        <v>1822</v>
      </c>
      <c r="G1160" s="210" t="s">
        <v>21</v>
      </c>
      <c r="H1160" s="219">
        <v>24.4</v>
      </c>
      <c r="I1160" s="309"/>
      <c r="J1160" s="829" t="s">
        <v>1823</v>
      </c>
      <c r="K1160" s="829" t="s">
        <v>1709</v>
      </c>
      <c r="L1160" s="835">
        <v>1</v>
      </c>
      <c r="M1160" s="830"/>
    </row>
    <row r="1161" spans="1:13" ht="12.75" customHeight="1">
      <c r="A1161" s="819">
        <v>9</v>
      </c>
      <c r="B1161" s="831"/>
      <c r="C1161" s="819"/>
      <c r="D1161" s="209"/>
      <c r="E1161" s="214">
        <v>7</v>
      </c>
      <c r="F1161" s="819" t="s">
        <v>1822</v>
      </c>
      <c r="G1161" s="214" t="s">
        <v>19</v>
      </c>
      <c r="H1161" s="219">
        <v>21.9</v>
      </c>
      <c r="I1161" s="309"/>
      <c r="J1161" s="829" t="s">
        <v>1823</v>
      </c>
      <c r="K1161" s="161"/>
      <c r="L1161" s="45"/>
      <c r="M1161" s="830"/>
    </row>
    <row r="1162" spans="1:13" ht="12.75" customHeight="1">
      <c r="A1162" s="819">
        <v>9</v>
      </c>
      <c r="B1162" s="831"/>
      <c r="C1162" s="819"/>
      <c r="D1162" s="209"/>
      <c r="E1162" s="766"/>
      <c r="F1162" s="828"/>
      <c r="G1162" s="771" t="s">
        <v>257</v>
      </c>
      <c r="H1162" s="772">
        <f>SUM(H1160+H1161)</f>
        <v>46.3</v>
      </c>
      <c r="I1162" s="309"/>
      <c r="J1162" s="829"/>
      <c r="K1162" s="161"/>
      <c r="L1162" s="45"/>
      <c r="M1162" s="830"/>
    </row>
    <row r="1163" spans="1:13" ht="29.4" customHeight="1">
      <c r="A1163" s="819">
        <v>9</v>
      </c>
      <c r="B1163" s="831"/>
      <c r="C1163" s="819" t="s">
        <v>1824</v>
      </c>
      <c r="D1163" s="209" t="s">
        <v>1825</v>
      </c>
      <c r="E1163" s="766">
        <v>7</v>
      </c>
      <c r="F1163" s="828" t="s">
        <v>1826</v>
      </c>
      <c r="G1163" s="210" t="s">
        <v>56</v>
      </c>
      <c r="H1163" s="219">
        <v>16.3</v>
      </c>
      <c r="I1163" s="309"/>
      <c r="J1163" s="829" t="s">
        <v>1827</v>
      </c>
      <c r="K1163" s="829" t="s">
        <v>1709</v>
      </c>
      <c r="L1163" s="835">
        <v>1</v>
      </c>
      <c r="M1163" s="830"/>
    </row>
    <row r="1164" spans="1:13" ht="12.75" customHeight="1">
      <c r="A1164" s="819">
        <v>9</v>
      </c>
      <c r="B1164" s="831"/>
      <c r="C1164" s="819"/>
      <c r="D1164" s="209"/>
      <c r="E1164" s="766">
        <v>7</v>
      </c>
      <c r="F1164" s="828" t="s">
        <v>1826</v>
      </c>
      <c r="G1164" s="210" t="s">
        <v>59</v>
      </c>
      <c r="H1164" s="219">
        <v>4.8</v>
      </c>
      <c r="I1164" s="309"/>
      <c r="J1164" s="829" t="s">
        <v>1827</v>
      </c>
      <c r="K1164" s="161"/>
      <c r="L1164" s="45"/>
      <c r="M1164" s="830"/>
    </row>
    <row r="1165" spans="1:13" ht="12.75" customHeight="1">
      <c r="A1165" s="819">
        <v>9</v>
      </c>
      <c r="B1165" s="831"/>
      <c r="C1165" s="819"/>
      <c r="D1165" s="209"/>
      <c r="E1165" s="766"/>
      <c r="F1165" s="828"/>
      <c r="G1165" s="771" t="s">
        <v>257</v>
      </c>
      <c r="H1165" s="772">
        <f>H1163+H1164</f>
        <v>21.1</v>
      </c>
      <c r="I1165" s="309"/>
      <c r="J1165" s="829"/>
      <c r="K1165" s="161"/>
      <c r="L1165" s="45"/>
      <c r="M1165" s="830"/>
    </row>
    <row r="1166" spans="1:13" ht="30.6">
      <c r="A1166" s="819">
        <v>9</v>
      </c>
      <c r="B1166" s="831"/>
      <c r="C1166" s="819" t="s">
        <v>1828</v>
      </c>
      <c r="D1166" s="209" t="s">
        <v>1829</v>
      </c>
      <c r="E1166" s="766">
        <v>7</v>
      </c>
      <c r="F1166" s="828" t="s">
        <v>1830</v>
      </c>
      <c r="G1166" s="210" t="s">
        <v>56</v>
      </c>
      <c r="H1166" s="219">
        <v>26.7</v>
      </c>
      <c r="I1166" s="309"/>
      <c r="J1166" s="829" t="s">
        <v>1831</v>
      </c>
      <c r="K1166" s="829" t="s">
        <v>1709</v>
      </c>
      <c r="L1166" s="835">
        <v>1</v>
      </c>
      <c r="M1166" s="830"/>
    </row>
    <row r="1167" spans="1:13" ht="16.2" customHeight="1">
      <c r="A1167" s="819">
        <v>9</v>
      </c>
      <c r="B1167" s="831"/>
      <c r="C1167" s="819"/>
      <c r="D1167" s="209"/>
      <c r="E1167" s="766">
        <v>7</v>
      </c>
      <c r="F1167" s="828" t="s">
        <v>1830</v>
      </c>
      <c r="G1167" s="210" t="s">
        <v>59</v>
      </c>
      <c r="H1167" s="219">
        <v>4.4000000000000004</v>
      </c>
      <c r="I1167" s="309"/>
      <c r="J1167" s="829" t="s">
        <v>1831</v>
      </c>
      <c r="K1167" s="161"/>
      <c r="L1167" s="45"/>
      <c r="M1167" s="830"/>
    </row>
    <row r="1168" spans="1:13" ht="12.75" customHeight="1">
      <c r="A1168" s="819">
        <v>9</v>
      </c>
      <c r="B1168" s="831"/>
      <c r="C1168" s="819"/>
      <c r="D1168" s="209"/>
      <c r="E1168" s="766"/>
      <c r="F1168" s="828"/>
      <c r="G1168" s="771" t="s">
        <v>257</v>
      </c>
      <c r="H1168" s="772">
        <f>H1166+H1167</f>
        <v>31.1</v>
      </c>
      <c r="I1168" s="309"/>
      <c r="J1168" s="68"/>
      <c r="K1168" s="161"/>
      <c r="L1168" s="45"/>
      <c r="M1168" s="830"/>
    </row>
    <row r="1169" spans="1:13" ht="20.399999999999999">
      <c r="A1169" s="819">
        <v>9</v>
      </c>
      <c r="B1169" s="831"/>
      <c r="C1169" s="819" t="s">
        <v>1832</v>
      </c>
      <c r="D1169" s="209" t="s">
        <v>1833</v>
      </c>
      <c r="E1169" s="766">
        <v>7</v>
      </c>
      <c r="F1169" s="828" t="s">
        <v>1834</v>
      </c>
      <c r="G1169" s="214" t="s">
        <v>56</v>
      </c>
      <c r="H1169" s="219">
        <v>19.8</v>
      </c>
      <c r="I1169" s="309"/>
      <c r="J1169" s="829" t="s">
        <v>1771</v>
      </c>
      <c r="K1169" s="829" t="s">
        <v>1709</v>
      </c>
      <c r="L1169" s="835">
        <v>1</v>
      </c>
      <c r="M1169" s="830"/>
    </row>
    <row r="1170" spans="1:13" ht="12.75" customHeight="1">
      <c r="A1170" s="819">
        <v>9</v>
      </c>
      <c r="B1170" s="831"/>
      <c r="C1170" s="819"/>
      <c r="D1170" s="209"/>
      <c r="E1170" s="766">
        <v>7</v>
      </c>
      <c r="F1170" s="828" t="s">
        <v>1834</v>
      </c>
      <c r="G1170" s="214" t="s">
        <v>59</v>
      </c>
      <c r="H1170" s="219">
        <v>6.6</v>
      </c>
      <c r="I1170" s="309"/>
      <c r="J1170" s="829" t="s">
        <v>1771</v>
      </c>
      <c r="K1170" s="161"/>
      <c r="L1170" s="45"/>
      <c r="M1170" s="830"/>
    </row>
    <row r="1171" spans="1:13" ht="12.75" customHeight="1">
      <c r="A1171" s="819">
        <v>9</v>
      </c>
      <c r="B1171" s="831"/>
      <c r="C1171" s="819"/>
      <c r="D1171" s="209"/>
      <c r="E1171" s="766">
        <v>7</v>
      </c>
      <c r="F1171" s="828" t="s">
        <v>1834</v>
      </c>
      <c r="G1171" s="771" t="s">
        <v>257</v>
      </c>
      <c r="H1171" s="772">
        <f>SUM(H1169+H1170)</f>
        <v>26.4</v>
      </c>
      <c r="I1171" s="309"/>
      <c r="J1171" s="68"/>
      <c r="K1171" s="161"/>
      <c r="L1171" s="45"/>
      <c r="M1171" s="830"/>
    </row>
    <row r="1172" spans="1:13" ht="18" customHeight="1">
      <c r="A1172" s="819">
        <v>9</v>
      </c>
      <c r="B1172" s="760" t="s">
        <v>1835</v>
      </c>
      <c r="C1172" s="760" t="s">
        <v>1835</v>
      </c>
      <c r="D1172" s="761" t="s">
        <v>1836</v>
      </c>
      <c r="E1172" s="833"/>
      <c r="F1172" s="828"/>
      <c r="G1172" s="207" t="s">
        <v>1837</v>
      </c>
      <c r="H1172" s="207">
        <f>SUM(H1174,H1176)</f>
        <v>2763.4</v>
      </c>
      <c r="I1172" s="309"/>
      <c r="J1172" s="829"/>
      <c r="K1172" s="161"/>
      <c r="L1172" s="45"/>
      <c r="M1172" s="830"/>
    </row>
    <row r="1173" spans="1:13" ht="12.75" customHeight="1">
      <c r="A1173" s="819">
        <v>9</v>
      </c>
      <c r="B1173" s="831"/>
      <c r="C1173" s="847"/>
      <c r="D1173" s="832"/>
      <c r="E1173" s="833"/>
      <c r="F1173" s="828"/>
      <c r="G1173" s="763" t="s">
        <v>257</v>
      </c>
      <c r="H1173" s="764">
        <f>SUM(H1172:H1172)</f>
        <v>2763.4</v>
      </c>
      <c r="I1173" s="309"/>
      <c r="J1173" s="829"/>
      <c r="K1173" s="161"/>
      <c r="L1173" s="45"/>
      <c r="M1173" s="830"/>
    </row>
    <row r="1174" spans="1:13" ht="12.75" customHeight="1">
      <c r="A1174" s="819">
        <v>9</v>
      </c>
      <c r="B1174" s="831"/>
      <c r="C1174" s="847" t="s">
        <v>1838</v>
      </c>
      <c r="D1174" s="209" t="s">
        <v>1839</v>
      </c>
      <c r="E1174" s="735">
        <v>4</v>
      </c>
      <c r="F1174" s="828" t="s">
        <v>1840</v>
      </c>
      <c r="G1174" s="834" t="s">
        <v>19</v>
      </c>
      <c r="H1174" s="219">
        <v>500</v>
      </c>
      <c r="I1174" s="309" t="s">
        <v>49</v>
      </c>
      <c r="J1174" s="829" t="s">
        <v>1841</v>
      </c>
      <c r="K1174" s="829" t="s">
        <v>379</v>
      </c>
      <c r="L1174" s="835">
        <v>100</v>
      </c>
      <c r="M1174" s="830"/>
    </row>
    <row r="1175" spans="1:13" ht="12.75" customHeight="1">
      <c r="A1175" s="819">
        <v>9</v>
      </c>
      <c r="B1175" s="831"/>
      <c r="C1175" s="847"/>
      <c r="D1175" s="209"/>
      <c r="E1175" s="735">
        <v>4</v>
      </c>
      <c r="F1175" s="828" t="s">
        <v>1840</v>
      </c>
      <c r="G1175" s="771" t="s">
        <v>257</v>
      </c>
      <c r="H1175" s="772">
        <f>SUM(H1174)</f>
        <v>500</v>
      </c>
      <c r="I1175" s="309"/>
      <c r="J1175" s="829"/>
      <c r="K1175" s="829"/>
      <c r="L1175" s="835"/>
      <c r="M1175" s="830"/>
    </row>
    <row r="1176" spans="1:13" ht="12.75" customHeight="1">
      <c r="A1176" s="819">
        <v>9</v>
      </c>
      <c r="B1176" s="831"/>
      <c r="C1176" s="819" t="s">
        <v>1842</v>
      </c>
      <c r="D1176" s="209" t="s">
        <v>1843</v>
      </c>
      <c r="E1176" s="735">
        <v>4</v>
      </c>
      <c r="F1176" s="828" t="s">
        <v>1844</v>
      </c>
      <c r="G1176" s="834" t="s">
        <v>19</v>
      </c>
      <c r="H1176" s="219">
        <v>2263.4</v>
      </c>
      <c r="I1176" s="309" t="s">
        <v>49</v>
      </c>
      <c r="J1176" s="829" t="s">
        <v>1841</v>
      </c>
      <c r="K1176" s="829" t="s">
        <v>379</v>
      </c>
      <c r="L1176" s="835">
        <v>100</v>
      </c>
      <c r="M1176" s="830"/>
    </row>
    <row r="1177" spans="1:13" ht="12.75" customHeight="1">
      <c r="A1177" s="819">
        <v>9</v>
      </c>
      <c r="B1177" s="831"/>
      <c r="C1177" s="819"/>
      <c r="D1177" s="209"/>
      <c r="E1177" s="735">
        <v>4</v>
      </c>
      <c r="F1177" s="828" t="s">
        <v>1844</v>
      </c>
      <c r="G1177" s="771" t="s">
        <v>257</v>
      </c>
      <c r="H1177" s="772">
        <f>SUM(H1176:H1176)</f>
        <v>2263.4</v>
      </c>
      <c r="I1177" s="309"/>
      <c r="J1177" s="829"/>
      <c r="K1177" s="161"/>
      <c r="L1177" s="45"/>
      <c r="M1177" s="830"/>
    </row>
    <row r="1178" spans="1:13" ht="40.799999999999997">
      <c r="A1178" s="819">
        <v>9</v>
      </c>
      <c r="B1178" s="316"/>
      <c r="C1178" s="316"/>
      <c r="D1178" s="774" t="s">
        <v>1845</v>
      </c>
      <c r="E1178" s="726"/>
      <c r="F1178" s="318"/>
      <c r="G1178" s="316"/>
      <c r="H1178" s="318"/>
      <c r="I1178" s="309"/>
      <c r="J1178" s="829"/>
      <c r="K1178" s="161"/>
      <c r="L1178" s="45"/>
      <c r="M1178" s="830"/>
    </row>
    <row r="1179" spans="1:13" ht="20.399999999999999">
      <c r="A1179" s="819">
        <v>9</v>
      </c>
      <c r="B1179" s="760" t="s">
        <v>1846</v>
      </c>
      <c r="C1179" s="760" t="s">
        <v>1846</v>
      </c>
      <c r="D1179" s="761" t="s">
        <v>1847</v>
      </c>
      <c r="E1179" s="775"/>
      <c r="F1179" s="776"/>
      <c r="G1179" s="207" t="s">
        <v>1597</v>
      </c>
      <c r="H1179" s="207">
        <f>SUM(H1185+H1187+H1189+H1192+H1194+H1196+H1199+H1201+H1205+H1203+H1209)</f>
        <v>707.9</v>
      </c>
      <c r="I1179" s="309"/>
      <c r="J1179" s="829"/>
      <c r="K1179" s="161"/>
      <c r="L1179" s="45"/>
      <c r="M1179" s="830"/>
    </row>
    <row r="1180" spans="1:13" ht="12.75" customHeight="1">
      <c r="A1180" s="819">
        <v>9</v>
      </c>
      <c r="B1180" s="831"/>
      <c r="C1180" s="847"/>
      <c r="D1180" s="832"/>
      <c r="E1180" s="833"/>
      <c r="F1180" s="828"/>
      <c r="G1180" s="207" t="s">
        <v>1848</v>
      </c>
      <c r="H1180" s="207">
        <f>H1190</f>
        <v>10</v>
      </c>
      <c r="I1180" s="309"/>
      <c r="J1180" s="829"/>
      <c r="K1180" s="161"/>
      <c r="L1180" s="45"/>
      <c r="M1180" s="830"/>
    </row>
    <row r="1181" spans="1:13" ht="12.75" customHeight="1">
      <c r="A1181" s="819">
        <v>9</v>
      </c>
      <c r="B1181" s="831"/>
      <c r="C1181" s="847"/>
      <c r="D1181" s="832"/>
      <c r="E1181" s="833"/>
      <c r="F1181" s="828"/>
      <c r="G1181" s="207" t="s">
        <v>1849</v>
      </c>
      <c r="H1181" s="207">
        <f>SUM(H1197)</f>
        <v>460.8</v>
      </c>
      <c r="I1181" s="309"/>
      <c r="J1181" s="829"/>
      <c r="K1181" s="161"/>
      <c r="L1181" s="45"/>
      <c r="M1181" s="830"/>
    </row>
    <row r="1182" spans="1:13" ht="12.75" customHeight="1">
      <c r="A1182" s="819">
        <v>9</v>
      </c>
      <c r="B1182" s="831"/>
      <c r="C1182" s="847"/>
      <c r="D1182" s="832"/>
      <c r="E1182" s="833"/>
      <c r="F1182" s="828"/>
      <c r="G1182" s="207" t="s">
        <v>1598</v>
      </c>
      <c r="H1182" s="207">
        <f t="shared" ref="H1182:H1183" si="3">SUM(H1206)</f>
        <v>8.4</v>
      </c>
      <c r="I1182" s="309"/>
      <c r="J1182" s="829"/>
      <c r="K1182" s="161"/>
      <c r="L1182" s="45"/>
      <c r="M1182" s="830"/>
    </row>
    <row r="1183" spans="1:13" ht="12.75" customHeight="1">
      <c r="A1183" s="819">
        <v>9</v>
      </c>
      <c r="B1183" s="831"/>
      <c r="C1183" s="847"/>
      <c r="D1183" s="832"/>
      <c r="E1183" s="833"/>
      <c r="F1183" s="828"/>
      <c r="G1183" s="207" t="s">
        <v>1850</v>
      </c>
      <c r="H1183" s="207">
        <f t="shared" si="3"/>
        <v>31.4</v>
      </c>
      <c r="I1183" s="309"/>
      <c r="J1183" s="829"/>
      <c r="K1183" s="161"/>
      <c r="L1183" s="45"/>
      <c r="M1183" s="830"/>
    </row>
    <row r="1184" spans="1:13" ht="12.75" customHeight="1">
      <c r="A1184" s="819">
        <v>9</v>
      </c>
      <c r="B1184" s="831"/>
      <c r="C1184" s="847"/>
      <c r="D1184" s="832"/>
      <c r="E1184" s="833"/>
      <c r="F1184" s="828"/>
      <c r="G1184" s="763" t="s">
        <v>257</v>
      </c>
      <c r="H1184" s="764">
        <f>SUM(H1179:H1183)</f>
        <v>1218.5000000000002</v>
      </c>
      <c r="I1184" s="309"/>
      <c r="J1184" s="829"/>
      <c r="K1184" s="161"/>
      <c r="L1184" s="45"/>
      <c r="M1184" s="830"/>
    </row>
    <row r="1185" spans="1:13" ht="18" customHeight="1">
      <c r="A1185" s="819">
        <v>9</v>
      </c>
      <c r="B1185" s="831"/>
      <c r="C1185" s="847" t="s">
        <v>1851</v>
      </c>
      <c r="D1185" s="832" t="s">
        <v>1852</v>
      </c>
      <c r="E1185" s="833">
        <v>13</v>
      </c>
      <c r="F1185" s="828" t="s">
        <v>1853</v>
      </c>
      <c r="G1185" s="834" t="s">
        <v>19</v>
      </c>
      <c r="H1185" s="219">
        <f>150</f>
        <v>150</v>
      </c>
      <c r="I1185" s="309" t="s">
        <v>64</v>
      </c>
      <c r="J1185" s="848" t="s">
        <v>1854</v>
      </c>
      <c r="K1185" s="829" t="s">
        <v>1855</v>
      </c>
      <c r="L1185" s="835">
        <v>100</v>
      </c>
      <c r="M1185" s="830"/>
    </row>
    <row r="1186" spans="1:13" ht="12.75" customHeight="1">
      <c r="A1186" s="819">
        <v>9</v>
      </c>
      <c r="B1186" s="831"/>
      <c r="C1186" s="847"/>
      <c r="D1186" s="832"/>
      <c r="E1186" s="833"/>
      <c r="F1186" s="828"/>
      <c r="G1186" s="771" t="s">
        <v>257</v>
      </c>
      <c r="H1186" s="772">
        <f>SUM(H1185)</f>
        <v>150</v>
      </c>
      <c r="I1186" s="309"/>
      <c r="J1186" s="829"/>
      <c r="K1186" s="161"/>
      <c r="L1186" s="45"/>
      <c r="M1186" s="830"/>
    </row>
    <row r="1187" spans="1:13" ht="21.75" customHeight="1">
      <c r="A1187" s="819">
        <v>9</v>
      </c>
      <c r="B1187" s="831"/>
      <c r="C1187" s="847" t="s">
        <v>1856</v>
      </c>
      <c r="D1187" s="832" t="s">
        <v>1857</v>
      </c>
      <c r="E1187" s="833">
        <v>3</v>
      </c>
      <c r="F1187" s="828" t="s">
        <v>1858</v>
      </c>
      <c r="G1187" s="834" t="s">
        <v>19</v>
      </c>
      <c r="H1187" s="219">
        <v>160</v>
      </c>
      <c r="I1187" s="309" t="s">
        <v>64</v>
      </c>
      <c r="J1187" s="141" t="s">
        <v>1859</v>
      </c>
      <c r="K1187" s="829" t="s">
        <v>1860</v>
      </c>
      <c r="L1187" s="835">
        <v>100</v>
      </c>
      <c r="M1187" s="830"/>
    </row>
    <row r="1188" spans="1:13" ht="12.75" customHeight="1">
      <c r="A1188" s="819">
        <v>9</v>
      </c>
      <c r="B1188" s="831"/>
      <c r="C1188" s="847"/>
      <c r="D1188" s="832"/>
      <c r="E1188" s="833"/>
      <c r="F1188" s="828"/>
      <c r="G1188" s="771" t="s">
        <v>257</v>
      </c>
      <c r="H1188" s="772">
        <f>SUM(H1187)</f>
        <v>160</v>
      </c>
      <c r="I1188" s="309"/>
      <c r="J1188" s="829"/>
      <c r="K1188" s="161"/>
      <c r="L1188" s="45"/>
      <c r="M1188" s="830"/>
    </row>
    <row r="1189" spans="1:13" ht="81.599999999999994">
      <c r="A1189" s="819">
        <v>9</v>
      </c>
      <c r="B1189" s="831"/>
      <c r="C1189" s="847" t="s">
        <v>1861</v>
      </c>
      <c r="D1189" s="832" t="s">
        <v>1862</v>
      </c>
      <c r="E1189" s="834">
        <v>10</v>
      </c>
      <c r="F1189" s="819" t="s">
        <v>1863</v>
      </c>
      <c r="G1189" s="313" t="s">
        <v>19</v>
      </c>
      <c r="H1189" s="219">
        <v>50</v>
      </c>
      <c r="I1189" s="309" t="s">
        <v>49</v>
      </c>
      <c r="J1189" s="829" t="s">
        <v>1864</v>
      </c>
      <c r="K1189" s="829" t="s">
        <v>1865</v>
      </c>
      <c r="L1189" s="849" t="s">
        <v>1866</v>
      </c>
      <c r="M1189" s="830"/>
    </row>
    <row r="1190" spans="1:13" ht="19.2" customHeight="1">
      <c r="A1190" s="819">
        <v>9</v>
      </c>
      <c r="B1190" s="831"/>
      <c r="C1190" s="847"/>
      <c r="D1190" s="832"/>
      <c r="E1190" s="833">
        <v>10</v>
      </c>
      <c r="F1190" s="828" t="s">
        <v>1863</v>
      </c>
      <c r="G1190" s="309" t="s">
        <v>259</v>
      </c>
      <c r="H1190" s="219">
        <v>10</v>
      </c>
      <c r="I1190" s="309"/>
      <c r="J1190" s="829" t="s">
        <v>1864</v>
      </c>
      <c r="K1190" s="161"/>
      <c r="L1190" s="45"/>
      <c r="M1190" s="830"/>
    </row>
    <row r="1191" spans="1:13" ht="12.75" customHeight="1">
      <c r="A1191" s="819">
        <v>9</v>
      </c>
      <c r="B1191" s="831"/>
      <c r="C1191" s="847"/>
      <c r="D1191" s="832"/>
      <c r="E1191" s="833"/>
      <c r="F1191" s="828"/>
      <c r="G1191" s="771" t="s">
        <v>257</v>
      </c>
      <c r="H1191" s="772">
        <f>SUM(H1189:H1190)</f>
        <v>60</v>
      </c>
      <c r="I1191" s="309"/>
      <c r="J1191" s="829"/>
      <c r="K1191" s="161"/>
      <c r="L1191" s="45"/>
      <c r="M1191" s="830"/>
    </row>
    <row r="1192" spans="1:13" ht="12.75" customHeight="1">
      <c r="A1192" s="819">
        <v>9</v>
      </c>
      <c r="B1192" s="831"/>
      <c r="C1192" s="847" t="s">
        <v>1867</v>
      </c>
      <c r="D1192" s="832" t="s">
        <v>1868</v>
      </c>
      <c r="E1192" s="833">
        <v>10</v>
      </c>
      <c r="F1192" s="828" t="s">
        <v>1869</v>
      </c>
      <c r="G1192" s="313" t="s">
        <v>19</v>
      </c>
      <c r="H1192" s="219">
        <v>44</v>
      </c>
      <c r="I1192" s="309" t="s">
        <v>49</v>
      </c>
      <c r="J1192" s="147" t="s">
        <v>378</v>
      </c>
      <c r="K1192" s="829" t="s">
        <v>1870</v>
      </c>
      <c r="L1192" s="835">
        <v>100</v>
      </c>
      <c r="M1192" s="830"/>
    </row>
    <row r="1193" spans="1:13" ht="12.75" customHeight="1">
      <c r="A1193" s="819">
        <v>9</v>
      </c>
      <c r="B1193" s="831"/>
      <c r="C1193" s="847"/>
      <c r="D1193" s="832"/>
      <c r="E1193" s="833"/>
      <c r="F1193" s="828"/>
      <c r="G1193" s="771" t="s">
        <v>257</v>
      </c>
      <c r="H1193" s="772">
        <f>SUM(H1192)</f>
        <v>44</v>
      </c>
      <c r="I1193" s="309"/>
      <c r="J1193" s="829"/>
      <c r="K1193" s="161"/>
      <c r="L1193" s="45"/>
      <c r="M1193" s="830"/>
    </row>
    <row r="1194" spans="1:13" ht="12.75" customHeight="1">
      <c r="A1194" s="819">
        <v>9</v>
      </c>
      <c r="B1194" s="831"/>
      <c r="C1194" s="847" t="s">
        <v>1871</v>
      </c>
      <c r="D1194" s="850" t="s">
        <v>1872</v>
      </c>
      <c r="E1194" s="833" t="s">
        <v>1873</v>
      </c>
      <c r="F1194" s="828" t="s">
        <v>1874</v>
      </c>
      <c r="G1194" s="834" t="s">
        <v>19</v>
      </c>
      <c r="H1194" s="219">
        <v>46.8</v>
      </c>
      <c r="I1194" s="309" t="s">
        <v>49</v>
      </c>
      <c r="J1194" s="144" t="s">
        <v>1875</v>
      </c>
      <c r="K1194" s="829" t="s">
        <v>379</v>
      </c>
      <c r="L1194" s="835">
        <v>100</v>
      </c>
      <c r="M1194" s="830"/>
    </row>
    <row r="1195" spans="1:13" ht="12.75" customHeight="1">
      <c r="A1195" s="819">
        <v>9</v>
      </c>
      <c r="B1195" s="831"/>
      <c r="C1195" s="847"/>
      <c r="D1195" s="850"/>
      <c r="E1195" s="833"/>
      <c r="F1195" s="828"/>
      <c r="G1195" s="771" t="s">
        <v>257</v>
      </c>
      <c r="H1195" s="772">
        <f>SUM(H1194)</f>
        <v>46.8</v>
      </c>
      <c r="I1195" s="309"/>
      <c r="J1195" s="829"/>
      <c r="K1195" s="161"/>
      <c r="L1195" s="45"/>
      <c r="M1195" s="830"/>
    </row>
    <row r="1196" spans="1:13" ht="20.399999999999999">
      <c r="A1196" s="819">
        <v>9</v>
      </c>
      <c r="B1196" s="831"/>
      <c r="C1196" s="847" t="s">
        <v>1876</v>
      </c>
      <c r="D1196" s="209" t="s">
        <v>1877</v>
      </c>
      <c r="E1196" s="777" t="s">
        <v>852</v>
      </c>
      <c r="F1196" s="482" t="s">
        <v>1878</v>
      </c>
      <c r="G1196" s="834" t="s">
        <v>19</v>
      </c>
      <c r="H1196" s="219">
        <f>234.1-50</f>
        <v>184.1</v>
      </c>
      <c r="I1196" s="309" t="s">
        <v>49</v>
      </c>
      <c r="J1196" s="829" t="s">
        <v>1879</v>
      </c>
      <c r="K1196" s="829" t="s">
        <v>1880</v>
      </c>
      <c r="L1196" s="835">
        <v>8</v>
      </c>
      <c r="M1196" s="830"/>
    </row>
    <row r="1197" spans="1:13" ht="27" customHeight="1">
      <c r="A1197" s="819">
        <v>9</v>
      </c>
      <c r="B1197" s="831"/>
      <c r="C1197" s="847"/>
      <c r="D1197" s="209"/>
      <c r="E1197" s="777" t="s">
        <v>852</v>
      </c>
      <c r="F1197" s="482" t="s">
        <v>1878</v>
      </c>
      <c r="G1197" s="819" t="s">
        <v>75</v>
      </c>
      <c r="H1197" s="219">
        <v>460.8</v>
      </c>
      <c r="I1197" s="309" t="s">
        <v>49</v>
      </c>
      <c r="J1197" s="829" t="s">
        <v>1879</v>
      </c>
      <c r="K1197" s="161"/>
      <c r="L1197" s="45"/>
      <c r="M1197" s="830"/>
    </row>
    <row r="1198" spans="1:13" ht="12.75" customHeight="1">
      <c r="A1198" s="819">
        <v>9</v>
      </c>
      <c r="B1198" s="831"/>
      <c r="C1198" s="847"/>
      <c r="D1198" s="209"/>
      <c r="E1198" s="778"/>
      <c r="F1198" s="482"/>
      <c r="G1198" s="771" t="s">
        <v>257</v>
      </c>
      <c r="H1198" s="772">
        <f>SUM(H1196:H1197)</f>
        <v>644.9</v>
      </c>
      <c r="I1198" s="309"/>
      <c r="J1198" s="829"/>
      <c r="K1198" s="161"/>
      <c r="L1198" s="45"/>
      <c r="M1198" s="830"/>
    </row>
    <row r="1199" spans="1:13" ht="20.399999999999999">
      <c r="A1199" s="819">
        <v>9</v>
      </c>
      <c r="B1199" s="831"/>
      <c r="C1199" s="847" t="s">
        <v>1881</v>
      </c>
      <c r="D1199" s="832" t="s">
        <v>1882</v>
      </c>
      <c r="E1199" s="833">
        <v>36</v>
      </c>
      <c r="F1199" s="828" t="s">
        <v>1883</v>
      </c>
      <c r="G1199" s="834" t="s">
        <v>19</v>
      </c>
      <c r="H1199" s="219">
        <v>50</v>
      </c>
      <c r="I1199" s="309" t="s">
        <v>49</v>
      </c>
      <c r="J1199" s="829" t="s">
        <v>1884</v>
      </c>
      <c r="K1199" s="829" t="s">
        <v>1885</v>
      </c>
      <c r="L1199" s="835">
        <v>5</v>
      </c>
      <c r="M1199" s="830"/>
    </row>
    <row r="1200" spans="1:13" ht="12.75" customHeight="1">
      <c r="A1200" s="819">
        <v>9</v>
      </c>
      <c r="B1200" s="831"/>
      <c r="C1200" s="847"/>
      <c r="D1200" s="832"/>
      <c r="E1200" s="833"/>
      <c r="F1200" s="828"/>
      <c r="G1200" s="771" t="s">
        <v>257</v>
      </c>
      <c r="H1200" s="772">
        <f>SUM(H1199)</f>
        <v>50</v>
      </c>
      <c r="I1200" s="309"/>
      <c r="J1200" s="829"/>
      <c r="K1200" s="829"/>
      <c r="L1200" s="835"/>
      <c r="M1200" s="830"/>
    </row>
    <row r="1201" spans="1:13" ht="20.399999999999999">
      <c r="A1201" s="819">
        <v>9</v>
      </c>
      <c r="B1201" s="831"/>
      <c r="C1201" s="847" t="s">
        <v>1886</v>
      </c>
      <c r="D1201" s="832" t="s">
        <v>1887</v>
      </c>
      <c r="E1201" s="833">
        <v>36</v>
      </c>
      <c r="F1201" s="828" t="s">
        <v>1888</v>
      </c>
      <c r="G1201" s="834" t="s">
        <v>19</v>
      </c>
      <c r="H1201" s="219">
        <v>10</v>
      </c>
      <c r="I1201" s="309" t="s">
        <v>49</v>
      </c>
      <c r="J1201" s="829" t="s">
        <v>1889</v>
      </c>
      <c r="K1201" s="829" t="s">
        <v>1890</v>
      </c>
      <c r="L1201" s="835">
        <v>7</v>
      </c>
      <c r="M1201" s="830"/>
    </row>
    <row r="1202" spans="1:13" ht="12.75" customHeight="1">
      <c r="A1202" s="819">
        <v>9</v>
      </c>
      <c r="B1202" s="831"/>
      <c r="C1202" s="847"/>
      <c r="D1202" s="832"/>
      <c r="E1202" s="833"/>
      <c r="F1202" s="828"/>
      <c r="G1202" s="771" t="s">
        <v>257</v>
      </c>
      <c r="H1202" s="772">
        <f>SUM(H1201)</f>
        <v>10</v>
      </c>
      <c r="I1202" s="309"/>
      <c r="J1202" s="829"/>
      <c r="K1202" s="829"/>
      <c r="L1202" s="835"/>
      <c r="M1202" s="830"/>
    </row>
    <row r="1203" spans="1:13" ht="20.399999999999999">
      <c r="A1203" s="819">
        <v>9</v>
      </c>
      <c r="B1203" s="831"/>
      <c r="C1203" s="847" t="s">
        <v>1891</v>
      </c>
      <c r="D1203" s="832" t="s">
        <v>1892</v>
      </c>
      <c r="E1203" s="834">
        <v>39</v>
      </c>
      <c r="F1203" s="819" t="s">
        <v>1893</v>
      </c>
      <c r="G1203" s="834" t="s">
        <v>19</v>
      </c>
      <c r="H1203" s="219">
        <v>10</v>
      </c>
      <c r="I1203" s="309" t="s">
        <v>64</v>
      </c>
      <c r="J1203" s="829" t="s">
        <v>1894</v>
      </c>
      <c r="K1203" s="829" t="s">
        <v>1895</v>
      </c>
      <c r="L1203" s="835">
        <v>2</v>
      </c>
      <c r="M1203" s="830"/>
    </row>
    <row r="1204" spans="1:13" ht="12.75" customHeight="1">
      <c r="A1204" s="819">
        <v>9</v>
      </c>
      <c r="B1204" s="831"/>
      <c r="C1204" s="847"/>
      <c r="D1204" s="832"/>
      <c r="E1204" s="819"/>
      <c r="F1204" s="819"/>
      <c r="G1204" s="771" t="s">
        <v>257</v>
      </c>
      <c r="H1204" s="772">
        <f>SUM(H1203)</f>
        <v>10</v>
      </c>
      <c r="I1204" s="309"/>
      <c r="J1204" s="829"/>
      <c r="K1204" s="161"/>
      <c r="L1204" s="45"/>
      <c r="M1204" s="830"/>
    </row>
    <row r="1205" spans="1:13" ht="20.399999999999999">
      <c r="A1205" s="819">
        <v>9</v>
      </c>
      <c r="B1205" s="831"/>
      <c r="C1205" s="847" t="s">
        <v>1896</v>
      </c>
      <c r="D1205" s="832" t="s">
        <v>1897</v>
      </c>
      <c r="E1205" s="819">
        <v>10</v>
      </c>
      <c r="F1205" s="819" t="s">
        <v>1898</v>
      </c>
      <c r="G1205" s="834" t="s">
        <v>19</v>
      </c>
      <c r="H1205" s="219"/>
      <c r="I1205" s="309" t="s">
        <v>182</v>
      </c>
      <c r="J1205" s="829" t="s">
        <v>1899</v>
      </c>
      <c r="K1205" s="161"/>
      <c r="L1205" s="45"/>
      <c r="M1205" s="830"/>
    </row>
    <row r="1206" spans="1:13" ht="20.25" customHeight="1">
      <c r="A1206" s="819">
        <v>9</v>
      </c>
      <c r="B1206" s="831"/>
      <c r="C1206" s="847"/>
      <c r="D1206" s="832"/>
      <c r="E1206" s="819">
        <v>10</v>
      </c>
      <c r="F1206" s="819" t="s">
        <v>1898</v>
      </c>
      <c r="G1206" s="819" t="s">
        <v>21</v>
      </c>
      <c r="H1206" s="219">
        <v>8.4</v>
      </c>
      <c r="I1206" s="309" t="s">
        <v>182</v>
      </c>
      <c r="J1206" s="829" t="s">
        <v>1899</v>
      </c>
      <c r="K1206" s="163"/>
      <c r="L1206" s="57"/>
      <c r="M1206" s="830"/>
    </row>
    <row r="1207" spans="1:13" ht="12.75" customHeight="1">
      <c r="A1207" s="819">
        <v>9</v>
      </c>
      <c r="B1207" s="831"/>
      <c r="C1207" s="847"/>
      <c r="D1207" s="832"/>
      <c r="E1207" s="819">
        <v>10</v>
      </c>
      <c r="F1207" s="819" t="s">
        <v>1898</v>
      </c>
      <c r="G1207" s="819" t="s">
        <v>56</v>
      </c>
      <c r="H1207" s="219">
        <v>31.4</v>
      </c>
      <c r="I1207" s="309" t="s">
        <v>182</v>
      </c>
      <c r="J1207" s="829" t="s">
        <v>1899</v>
      </c>
      <c r="K1207" s="829" t="s">
        <v>1900</v>
      </c>
      <c r="L1207" s="835">
        <v>100</v>
      </c>
      <c r="M1207" s="830"/>
    </row>
    <row r="1208" spans="1:13" ht="13.2">
      <c r="A1208" s="819">
        <v>9</v>
      </c>
      <c r="B1208" s="831"/>
      <c r="C1208" s="847"/>
      <c r="D1208" s="832"/>
      <c r="E1208" s="819"/>
      <c r="F1208" s="819"/>
      <c r="G1208" s="771" t="s">
        <v>257</v>
      </c>
      <c r="H1208" s="772">
        <f>SUM(H1205:H1207)</f>
        <v>39.799999999999997</v>
      </c>
      <c r="I1208" s="309" t="s">
        <v>182</v>
      </c>
      <c r="J1208" s="829"/>
      <c r="K1208" s="161"/>
      <c r="L1208" s="45"/>
      <c r="M1208" s="830"/>
    </row>
    <row r="1209" spans="1:13" ht="15" customHeight="1">
      <c r="A1209" s="819">
        <v>9</v>
      </c>
      <c r="B1209" s="831"/>
      <c r="C1209" s="847" t="s">
        <v>1901</v>
      </c>
      <c r="D1209" s="851" t="s">
        <v>1902</v>
      </c>
      <c r="E1209" s="819">
        <v>10</v>
      </c>
      <c r="F1209" s="819" t="s">
        <v>1903</v>
      </c>
      <c r="G1209" s="834" t="s">
        <v>19</v>
      </c>
      <c r="H1209" s="219">
        <v>3</v>
      </c>
      <c r="I1209" s="309" t="s">
        <v>49</v>
      </c>
      <c r="J1209" s="829" t="s">
        <v>1904</v>
      </c>
      <c r="K1209" s="829" t="s">
        <v>1870</v>
      </c>
      <c r="L1209" s="835">
        <v>100</v>
      </c>
      <c r="M1209" s="830"/>
    </row>
    <row r="1210" spans="1:13" ht="12.75" customHeight="1">
      <c r="A1210" s="819">
        <v>9</v>
      </c>
      <c r="B1210" s="831"/>
      <c r="C1210" s="847"/>
      <c r="D1210" s="832"/>
      <c r="E1210" s="819"/>
      <c r="F1210" s="819"/>
      <c r="G1210" s="771" t="s">
        <v>257</v>
      </c>
      <c r="H1210" s="772">
        <f>SUM(H1209)</f>
        <v>3</v>
      </c>
      <c r="I1210" s="309"/>
      <c r="J1210" s="829"/>
      <c r="K1210" s="161"/>
      <c r="L1210" s="45"/>
      <c r="M1210" s="830"/>
    </row>
    <row r="1211" spans="1:13" ht="21" customHeight="1">
      <c r="A1211" s="819">
        <v>9</v>
      </c>
      <c r="B1211" s="779"/>
      <c r="C1211" s="779"/>
      <c r="D1211" s="774" t="s">
        <v>1905</v>
      </c>
      <c r="E1211" s="726"/>
      <c r="F1211" s="318"/>
      <c r="G1211" s="316"/>
      <c r="H1211" s="318"/>
      <c r="I1211" s="309"/>
      <c r="J1211" s="829"/>
      <c r="K1211" s="161"/>
      <c r="L1211" s="45"/>
      <c r="M1211" s="830"/>
    </row>
    <row r="1212" spans="1:13" ht="12.75" customHeight="1">
      <c r="A1212" s="819">
        <v>9</v>
      </c>
      <c r="B1212" s="760" t="s">
        <v>1906</v>
      </c>
      <c r="C1212" s="760" t="s">
        <v>1906</v>
      </c>
      <c r="D1212" s="761" t="s">
        <v>1907</v>
      </c>
      <c r="E1212" s="833"/>
      <c r="F1212" s="828"/>
      <c r="G1212" s="207" t="s">
        <v>1837</v>
      </c>
      <c r="H1212" s="207">
        <f>SUM(H1222+H1224+H1228+H1230+H1232+H1238+H1240+H1244+H1245+H1247+H1249+H1252+H1253)</f>
        <v>1428.3</v>
      </c>
      <c r="I1212" s="309"/>
      <c r="J1212" s="829"/>
      <c r="K1212" s="161"/>
      <c r="L1212" s="45"/>
      <c r="M1212" s="830"/>
    </row>
    <row r="1213" spans="1:13" ht="12.75" customHeight="1">
      <c r="A1213" s="819">
        <v>9</v>
      </c>
      <c r="B1213" s="831"/>
      <c r="C1213" s="819"/>
      <c r="D1213" s="832"/>
      <c r="E1213" s="833"/>
      <c r="F1213" s="828"/>
      <c r="G1213" s="207" t="s">
        <v>1908</v>
      </c>
      <c r="H1213" s="207">
        <f>H1225+H1234</f>
        <v>200</v>
      </c>
      <c r="I1213" s="309"/>
      <c r="J1213" s="829"/>
      <c r="K1213" s="161"/>
      <c r="L1213" s="45"/>
      <c r="M1213" s="830"/>
    </row>
    <row r="1214" spans="1:13" ht="12.75" customHeight="1">
      <c r="A1214" s="819">
        <v>9</v>
      </c>
      <c r="B1214" s="831"/>
      <c r="C1214" s="819"/>
      <c r="D1214" s="832"/>
      <c r="E1214" s="833"/>
      <c r="F1214" s="828"/>
      <c r="G1214" s="207" t="s">
        <v>1909</v>
      </c>
      <c r="H1214" s="207">
        <f>H1226</f>
        <v>5</v>
      </c>
      <c r="I1214" s="309"/>
      <c r="J1214" s="829"/>
      <c r="K1214" s="161"/>
      <c r="L1214" s="45"/>
      <c r="M1214" s="830"/>
    </row>
    <row r="1215" spans="1:13" ht="12.75" customHeight="1">
      <c r="A1215" s="819">
        <v>9</v>
      </c>
      <c r="B1215" s="831"/>
      <c r="C1215" s="819"/>
      <c r="D1215" s="832"/>
      <c r="E1215" s="833"/>
      <c r="F1215" s="828"/>
      <c r="G1215" s="207" t="s">
        <v>1910</v>
      </c>
      <c r="H1215" s="207">
        <f t="shared" ref="H1215:H1216" si="4">H1241</f>
        <v>93</v>
      </c>
      <c r="I1215" s="309"/>
      <c r="J1215" s="829"/>
      <c r="K1215" s="161"/>
      <c r="L1215" s="45"/>
      <c r="M1215" s="830"/>
    </row>
    <row r="1216" spans="1:13" ht="12.75" customHeight="1">
      <c r="A1216" s="819">
        <v>9</v>
      </c>
      <c r="B1216" s="831"/>
      <c r="C1216" s="819"/>
      <c r="D1216" s="832"/>
      <c r="E1216" s="833"/>
      <c r="F1216" s="828"/>
      <c r="G1216" s="207" t="s">
        <v>1911</v>
      </c>
      <c r="H1216" s="207">
        <f t="shared" si="4"/>
        <v>0</v>
      </c>
      <c r="I1216" s="309"/>
      <c r="J1216" s="829"/>
      <c r="K1216" s="161"/>
      <c r="L1216" s="45"/>
      <c r="M1216" s="830"/>
    </row>
    <row r="1217" spans="1:13" ht="12.75" customHeight="1">
      <c r="A1217" s="819">
        <v>9</v>
      </c>
      <c r="B1217" s="831"/>
      <c r="C1217" s="819"/>
      <c r="D1217" s="832"/>
      <c r="E1217" s="833"/>
      <c r="F1217" s="828"/>
      <c r="G1217" s="207" t="s">
        <v>1912</v>
      </c>
      <c r="H1217" s="207">
        <f>H1250+H1236</f>
        <v>1823.7</v>
      </c>
      <c r="I1217" s="309"/>
      <c r="J1217" s="829"/>
      <c r="K1217" s="161"/>
      <c r="L1217" s="45"/>
      <c r="M1217" s="830"/>
    </row>
    <row r="1218" spans="1:13" ht="12.75" customHeight="1">
      <c r="A1218" s="819">
        <v>9</v>
      </c>
      <c r="B1218" s="831"/>
      <c r="C1218" s="819"/>
      <c r="D1218" s="832"/>
      <c r="E1218" s="833"/>
      <c r="F1218" s="828"/>
      <c r="G1218" s="207" t="s">
        <v>1913</v>
      </c>
      <c r="H1218" s="207"/>
      <c r="I1218" s="309"/>
      <c r="J1218" s="829"/>
      <c r="K1218" s="161"/>
      <c r="L1218" s="45"/>
      <c r="M1218" s="830"/>
    </row>
    <row r="1219" spans="1:13" ht="12.75" customHeight="1">
      <c r="A1219" s="819">
        <v>9</v>
      </c>
      <c r="B1219" s="831"/>
      <c r="C1219" s="819"/>
      <c r="D1219" s="832"/>
      <c r="E1219" s="833"/>
      <c r="F1219" s="828"/>
      <c r="G1219" s="207" t="s">
        <v>1914</v>
      </c>
      <c r="H1219" s="207">
        <f>H1233</f>
        <v>0</v>
      </c>
      <c r="I1219" s="309"/>
      <c r="J1219" s="829"/>
      <c r="K1219" s="161"/>
      <c r="L1219" s="45"/>
      <c r="M1219" s="830"/>
    </row>
    <row r="1220" spans="1:13" ht="12.75" customHeight="1">
      <c r="A1220" s="819">
        <v>9</v>
      </c>
      <c r="B1220" s="831"/>
      <c r="C1220" s="819"/>
      <c r="D1220" s="832"/>
      <c r="E1220" s="833"/>
      <c r="F1220" s="828"/>
      <c r="G1220" s="207" t="s">
        <v>1915</v>
      </c>
      <c r="H1220" s="207">
        <f>H1235</f>
        <v>600</v>
      </c>
      <c r="I1220" s="309"/>
      <c r="J1220" s="829"/>
      <c r="K1220" s="161"/>
      <c r="L1220" s="45"/>
      <c r="M1220" s="830"/>
    </row>
    <row r="1221" spans="1:13" ht="12.75" customHeight="1">
      <c r="A1221" s="819">
        <v>9</v>
      </c>
      <c r="B1221" s="831"/>
      <c r="C1221" s="819"/>
      <c r="D1221" s="832"/>
      <c r="E1221" s="833"/>
      <c r="F1221" s="828"/>
      <c r="G1221" s="763" t="s">
        <v>257</v>
      </c>
      <c r="H1221" s="764">
        <f>SUM(H1212:H1220)</f>
        <v>4150</v>
      </c>
      <c r="I1221" s="309"/>
      <c r="J1221" s="829"/>
      <c r="K1221" s="161"/>
      <c r="L1221" s="45"/>
      <c r="M1221" s="830"/>
    </row>
    <row r="1222" spans="1:13" ht="20.399999999999999">
      <c r="A1222" s="819">
        <v>9</v>
      </c>
      <c r="B1222" s="831"/>
      <c r="C1222" s="819" t="s">
        <v>1916</v>
      </c>
      <c r="D1222" s="832" t="s">
        <v>1917</v>
      </c>
      <c r="E1222" s="833">
        <v>10</v>
      </c>
      <c r="F1222" s="828" t="s">
        <v>1918</v>
      </c>
      <c r="G1222" s="834" t="s">
        <v>19</v>
      </c>
      <c r="H1222" s="219">
        <v>42</v>
      </c>
      <c r="I1222" s="309" t="s">
        <v>64</v>
      </c>
      <c r="J1222" s="956" t="s">
        <v>2107</v>
      </c>
      <c r="K1222" s="842" t="s">
        <v>1919</v>
      </c>
      <c r="L1222" s="843">
        <v>10</v>
      </c>
      <c r="M1222" s="830"/>
    </row>
    <row r="1223" spans="1:13" ht="12.75" customHeight="1">
      <c r="A1223" s="819">
        <v>9</v>
      </c>
      <c r="B1223" s="831"/>
      <c r="C1223" s="819"/>
      <c r="D1223" s="832"/>
      <c r="E1223" s="833"/>
      <c r="F1223" s="828"/>
      <c r="G1223" s="771" t="s">
        <v>257</v>
      </c>
      <c r="H1223" s="772">
        <f>SUM(H1222)</f>
        <v>42</v>
      </c>
      <c r="I1223" s="309"/>
      <c r="J1223" s="829"/>
      <c r="K1223" s="161"/>
      <c r="L1223" s="45"/>
      <c r="M1223" s="830"/>
    </row>
    <row r="1224" spans="1:13" ht="20.399999999999999">
      <c r="A1224" s="819">
        <v>9</v>
      </c>
      <c r="B1224" s="831"/>
      <c r="C1224" s="819" t="s">
        <v>1920</v>
      </c>
      <c r="D1224" s="832" t="s">
        <v>1921</v>
      </c>
      <c r="E1224" s="833">
        <v>38</v>
      </c>
      <c r="F1224" s="828" t="s">
        <v>1922</v>
      </c>
      <c r="G1224" s="834" t="s">
        <v>19</v>
      </c>
      <c r="H1224" s="219">
        <v>50</v>
      </c>
      <c r="I1224" s="309" t="s">
        <v>49</v>
      </c>
      <c r="J1224" s="829" t="s">
        <v>430</v>
      </c>
      <c r="K1224" s="829" t="s">
        <v>343</v>
      </c>
      <c r="L1224" s="835">
        <v>100</v>
      </c>
      <c r="M1224" s="830"/>
    </row>
    <row r="1225" spans="1:13" ht="12.75" customHeight="1">
      <c r="A1225" s="819">
        <v>9</v>
      </c>
      <c r="B1225" s="831"/>
      <c r="C1225" s="819"/>
      <c r="D1225" s="832"/>
      <c r="E1225" s="833">
        <v>38</v>
      </c>
      <c r="F1225" s="828" t="s">
        <v>1922</v>
      </c>
      <c r="G1225" s="819" t="s">
        <v>437</v>
      </c>
      <c r="H1225" s="219"/>
      <c r="I1225" s="309"/>
      <c r="J1225" s="829"/>
      <c r="K1225" s="829"/>
      <c r="L1225" s="835"/>
      <c r="M1225" s="830"/>
    </row>
    <row r="1226" spans="1:13" ht="12.75" customHeight="1">
      <c r="A1226" s="819">
        <v>9</v>
      </c>
      <c r="B1226" s="831"/>
      <c r="C1226" s="819"/>
      <c r="D1226" s="832"/>
      <c r="E1226" s="833">
        <v>38</v>
      </c>
      <c r="F1226" s="828" t="s">
        <v>1922</v>
      </c>
      <c r="G1226" s="834" t="s">
        <v>1923</v>
      </c>
      <c r="H1226" s="219">
        <v>5</v>
      </c>
      <c r="I1226" s="309"/>
      <c r="J1226" s="829"/>
      <c r="K1226" s="829"/>
      <c r="L1226" s="835"/>
      <c r="M1226" s="830"/>
    </row>
    <row r="1227" spans="1:13" ht="12.75" customHeight="1">
      <c r="A1227" s="819">
        <v>9</v>
      </c>
      <c r="B1227" s="831"/>
      <c r="C1227" s="819"/>
      <c r="D1227" s="832"/>
      <c r="E1227" s="833"/>
      <c r="F1227" s="828"/>
      <c r="G1227" s="771" t="s">
        <v>257</v>
      </c>
      <c r="H1227" s="772">
        <f>SUM(H1224:H1226)</f>
        <v>55</v>
      </c>
      <c r="I1227" s="309"/>
      <c r="J1227" s="829"/>
      <c r="K1227" s="829"/>
      <c r="L1227" s="835"/>
      <c r="M1227" s="830"/>
    </row>
    <row r="1228" spans="1:13" ht="21" customHeight="1">
      <c r="A1228" s="819">
        <v>9</v>
      </c>
      <c r="B1228" s="831"/>
      <c r="C1228" s="819" t="s">
        <v>1924</v>
      </c>
      <c r="D1228" s="832" t="s">
        <v>1925</v>
      </c>
      <c r="E1228" s="780">
        <v>36</v>
      </c>
      <c r="F1228" s="828" t="s">
        <v>1926</v>
      </c>
      <c r="G1228" s="834" t="s">
        <v>19</v>
      </c>
      <c r="H1228" s="219">
        <v>16</v>
      </c>
      <c r="I1228" s="309" t="s">
        <v>49</v>
      </c>
      <c r="J1228" s="829" t="s">
        <v>1884</v>
      </c>
      <c r="K1228" s="829" t="s">
        <v>1927</v>
      </c>
      <c r="L1228" s="835">
        <v>15</v>
      </c>
      <c r="M1228" s="830"/>
    </row>
    <row r="1229" spans="1:13" ht="12.75" customHeight="1">
      <c r="A1229" s="819">
        <v>9</v>
      </c>
      <c r="B1229" s="831"/>
      <c r="C1229" s="819"/>
      <c r="D1229" s="832"/>
      <c r="E1229" s="780"/>
      <c r="F1229" s="828"/>
      <c r="G1229" s="771" t="s">
        <v>257</v>
      </c>
      <c r="H1229" s="772">
        <f>SUM(H1228)</f>
        <v>16</v>
      </c>
      <c r="I1229" s="309"/>
      <c r="J1229" s="829"/>
      <c r="K1229" s="161"/>
      <c r="L1229" s="45"/>
      <c r="M1229" s="830"/>
    </row>
    <row r="1230" spans="1:13" ht="20.399999999999999">
      <c r="A1230" s="819">
        <v>9</v>
      </c>
      <c r="B1230" s="831"/>
      <c r="C1230" s="819" t="s">
        <v>1928</v>
      </c>
      <c r="D1230" s="832" t="s">
        <v>1929</v>
      </c>
      <c r="E1230" s="780">
        <v>36</v>
      </c>
      <c r="F1230" s="828" t="s">
        <v>1930</v>
      </c>
      <c r="G1230" s="834" t="s">
        <v>19</v>
      </c>
      <c r="H1230" s="219">
        <f>798-200-250</f>
        <v>348</v>
      </c>
      <c r="I1230" s="309" t="s">
        <v>64</v>
      </c>
      <c r="J1230" s="956" t="s">
        <v>1884</v>
      </c>
      <c r="K1230" s="829" t="s">
        <v>1931</v>
      </c>
      <c r="L1230" s="835">
        <v>4</v>
      </c>
      <c r="M1230" s="830"/>
    </row>
    <row r="1231" spans="1:13" ht="12.75" customHeight="1">
      <c r="A1231" s="819">
        <v>9</v>
      </c>
      <c r="B1231" s="831"/>
      <c r="C1231" s="819"/>
      <c r="D1231" s="832"/>
      <c r="E1231" s="780"/>
      <c r="F1231" s="828"/>
      <c r="G1231" s="771" t="s">
        <v>257</v>
      </c>
      <c r="H1231" s="772">
        <f>SUM(H1230)</f>
        <v>348</v>
      </c>
      <c r="I1231" s="309"/>
      <c r="J1231" s="829"/>
      <c r="K1231" s="161"/>
      <c r="L1231" s="45"/>
      <c r="M1231" s="830"/>
    </row>
    <row r="1232" spans="1:13" ht="20.399999999999999">
      <c r="A1232" s="819">
        <v>9</v>
      </c>
      <c r="B1232" s="831"/>
      <c r="C1232" s="819" t="s">
        <v>1932</v>
      </c>
      <c r="D1232" s="209" t="s">
        <v>1933</v>
      </c>
      <c r="E1232" s="735">
        <v>9</v>
      </c>
      <c r="F1232" s="828" t="s">
        <v>1934</v>
      </c>
      <c r="G1232" s="834" t="s">
        <v>19</v>
      </c>
      <c r="H1232" s="219">
        <f>1174-600</f>
        <v>574</v>
      </c>
      <c r="I1232" s="309" t="s">
        <v>182</v>
      </c>
      <c r="J1232" s="956" t="s">
        <v>2106</v>
      </c>
      <c r="K1232" s="829" t="s">
        <v>372</v>
      </c>
      <c r="L1232" s="835">
        <v>100</v>
      </c>
      <c r="M1232" s="830" t="s">
        <v>67</v>
      </c>
    </row>
    <row r="1233" spans="1:13" ht="12.75" customHeight="1">
      <c r="A1233" s="819">
        <v>9</v>
      </c>
      <c r="B1233" s="831"/>
      <c r="C1233" s="819"/>
      <c r="D1233" s="209"/>
      <c r="E1233" s="735">
        <v>9</v>
      </c>
      <c r="F1233" s="828" t="s">
        <v>1934</v>
      </c>
      <c r="G1233" s="834" t="s">
        <v>75</v>
      </c>
      <c r="H1233" s="294"/>
      <c r="I1233" s="309"/>
      <c r="J1233" s="829"/>
      <c r="K1233" s="161"/>
      <c r="L1233" s="45"/>
      <c r="M1233" s="830"/>
    </row>
    <row r="1234" spans="1:13" ht="12.75" customHeight="1">
      <c r="A1234" s="819">
        <v>9</v>
      </c>
      <c r="B1234" s="831"/>
      <c r="C1234" s="819"/>
      <c r="D1234" s="209"/>
      <c r="E1234" s="735">
        <v>9</v>
      </c>
      <c r="F1234" s="828" t="s">
        <v>1934</v>
      </c>
      <c r="G1234" s="819" t="s">
        <v>437</v>
      </c>
      <c r="H1234" s="294">
        <v>200</v>
      </c>
      <c r="I1234" s="309" t="s">
        <v>182</v>
      </c>
      <c r="J1234" s="829"/>
      <c r="K1234" s="161"/>
      <c r="L1234" s="45"/>
      <c r="M1234" s="830" t="s">
        <v>67</v>
      </c>
    </row>
    <row r="1235" spans="1:13" ht="12.75" customHeight="1">
      <c r="A1235" s="819">
        <v>9</v>
      </c>
      <c r="B1235" s="831"/>
      <c r="C1235" s="819"/>
      <c r="D1235" s="209"/>
      <c r="E1235" s="735">
        <v>9</v>
      </c>
      <c r="F1235" s="828" t="s">
        <v>1934</v>
      </c>
      <c r="G1235" s="819" t="s">
        <v>178</v>
      </c>
      <c r="H1235" s="294">
        <f>600</f>
        <v>600</v>
      </c>
      <c r="I1235" s="309" t="s">
        <v>182</v>
      </c>
      <c r="J1235" s="829"/>
      <c r="K1235" s="161"/>
      <c r="L1235" s="45"/>
      <c r="M1235" s="830" t="s">
        <v>67</v>
      </c>
    </row>
    <row r="1236" spans="1:13" ht="12.75" customHeight="1">
      <c r="A1236" s="819">
        <v>9</v>
      </c>
      <c r="B1236" s="831"/>
      <c r="C1236" s="819"/>
      <c r="D1236" s="209"/>
      <c r="E1236" s="735">
        <v>9</v>
      </c>
      <c r="F1236" s="828" t="s">
        <v>1934</v>
      </c>
      <c r="G1236" s="834" t="s">
        <v>56</v>
      </c>
      <c r="H1236" s="294">
        <v>1777.9</v>
      </c>
      <c r="I1236" s="309"/>
      <c r="J1236" s="829"/>
      <c r="K1236" s="161"/>
      <c r="L1236" s="45"/>
      <c r="M1236" s="830" t="s">
        <v>67</v>
      </c>
    </row>
    <row r="1237" spans="1:13" ht="12.75" customHeight="1">
      <c r="A1237" s="819">
        <v>9</v>
      </c>
      <c r="B1237" s="831"/>
      <c r="C1237" s="819"/>
      <c r="D1237" s="209"/>
      <c r="E1237" s="735"/>
      <c r="F1237" s="828"/>
      <c r="G1237" s="771" t="s">
        <v>257</v>
      </c>
      <c r="H1237" s="772">
        <f>SUM(H1232:H1236)</f>
        <v>3151.9</v>
      </c>
      <c r="I1237" s="309" t="s">
        <v>182</v>
      </c>
      <c r="J1237" s="829"/>
      <c r="K1237" s="161"/>
      <c r="L1237" s="45"/>
      <c r="M1237" s="830"/>
    </row>
    <row r="1238" spans="1:13" ht="53.4" customHeight="1">
      <c r="A1238" s="819">
        <v>9</v>
      </c>
      <c r="B1238" s="831"/>
      <c r="C1238" s="819" t="s">
        <v>1935</v>
      </c>
      <c r="D1238" s="372" t="s">
        <v>1936</v>
      </c>
      <c r="E1238" s="313">
        <v>9</v>
      </c>
      <c r="F1238" s="819" t="s">
        <v>1937</v>
      </c>
      <c r="G1238" s="834" t="s">
        <v>19</v>
      </c>
      <c r="H1238" s="219">
        <v>50</v>
      </c>
      <c r="I1238" s="309" t="s">
        <v>49</v>
      </c>
      <c r="J1238" s="829" t="s">
        <v>1938</v>
      </c>
      <c r="K1238" s="829" t="s">
        <v>1939</v>
      </c>
      <c r="L1238" s="835">
        <v>100</v>
      </c>
      <c r="M1238" s="830"/>
    </row>
    <row r="1239" spans="1:13" ht="12.75" customHeight="1">
      <c r="A1239" s="819">
        <v>9</v>
      </c>
      <c r="B1239" s="831"/>
      <c r="C1239" s="819"/>
      <c r="D1239" s="372"/>
      <c r="E1239" s="735"/>
      <c r="F1239" s="828"/>
      <c r="G1239" s="771" t="s">
        <v>257</v>
      </c>
      <c r="H1239" s="772">
        <f>SUM(H1238)</f>
        <v>50</v>
      </c>
      <c r="I1239" s="309"/>
      <c r="J1239" s="829"/>
      <c r="K1239" s="161"/>
      <c r="L1239" s="45"/>
      <c r="M1239" s="830"/>
    </row>
    <row r="1240" spans="1:13" ht="36" customHeight="1">
      <c r="A1240" s="819">
        <v>9</v>
      </c>
      <c r="B1240" s="831"/>
      <c r="C1240" s="819" t="s">
        <v>1940</v>
      </c>
      <c r="D1240" s="769" t="s">
        <v>1941</v>
      </c>
      <c r="E1240" s="766">
        <v>36</v>
      </c>
      <c r="F1240" s="828" t="s">
        <v>1942</v>
      </c>
      <c r="G1240" s="834" t="s">
        <v>19</v>
      </c>
      <c r="H1240" s="219">
        <v>100</v>
      </c>
      <c r="I1240" s="309" t="s">
        <v>64</v>
      </c>
      <c r="J1240" s="829" t="s">
        <v>1943</v>
      </c>
      <c r="K1240" s="829" t="s">
        <v>1944</v>
      </c>
      <c r="L1240" s="835">
        <v>15</v>
      </c>
      <c r="M1240" s="830"/>
    </row>
    <row r="1241" spans="1:13" ht="12.75" customHeight="1">
      <c r="A1241" s="819">
        <v>9</v>
      </c>
      <c r="B1241" s="831"/>
      <c r="C1241" s="819"/>
      <c r="D1241" s="769"/>
      <c r="E1241" s="766">
        <v>36</v>
      </c>
      <c r="F1241" s="828" t="s">
        <v>1942</v>
      </c>
      <c r="G1241" s="819" t="s">
        <v>22</v>
      </c>
      <c r="H1241" s="219">
        <v>93</v>
      </c>
      <c r="I1241" s="309"/>
      <c r="J1241" s="829" t="s">
        <v>1943</v>
      </c>
      <c r="K1241" s="161"/>
      <c r="L1241" s="45"/>
      <c r="M1241" s="830"/>
    </row>
    <row r="1242" spans="1:13" ht="12.75" customHeight="1">
      <c r="A1242" s="819">
        <v>9</v>
      </c>
      <c r="B1242" s="831"/>
      <c r="C1242" s="819"/>
      <c r="D1242" s="769"/>
      <c r="E1242" s="766">
        <v>36</v>
      </c>
      <c r="F1242" s="828" t="s">
        <v>1942</v>
      </c>
      <c r="G1242" s="819" t="s">
        <v>606</v>
      </c>
      <c r="H1242" s="219"/>
      <c r="I1242" s="309"/>
      <c r="J1242" s="829" t="s">
        <v>1943</v>
      </c>
      <c r="K1242" s="161"/>
      <c r="L1242" s="45"/>
      <c r="M1242" s="830"/>
    </row>
    <row r="1243" spans="1:13" ht="12.75" customHeight="1">
      <c r="A1243" s="819">
        <v>9</v>
      </c>
      <c r="B1243" s="831"/>
      <c r="C1243" s="819"/>
      <c r="D1243" s="769"/>
      <c r="E1243" s="766"/>
      <c r="F1243" s="828"/>
      <c r="G1243" s="771" t="s">
        <v>257</v>
      </c>
      <c r="H1243" s="772">
        <f>SUM(H1240:H1242)</f>
        <v>193</v>
      </c>
      <c r="I1243" s="309"/>
      <c r="J1243" s="829"/>
      <c r="K1243" s="161"/>
      <c r="L1243" s="45"/>
      <c r="M1243" s="830"/>
    </row>
    <row r="1244" spans="1:13" ht="12.75" customHeight="1">
      <c r="A1244" s="819">
        <v>9</v>
      </c>
      <c r="B1244" s="831"/>
      <c r="C1244" s="819" t="s">
        <v>1945</v>
      </c>
      <c r="D1244" s="225" t="s">
        <v>1946</v>
      </c>
      <c r="E1244" s="766" t="s">
        <v>1947</v>
      </c>
      <c r="F1244" s="828" t="s">
        <v>1948</v>
      </c>
      <c r="G1244" s="834" t="s">
        <v>19</v>
      </c>
      <c r="H1244" s="219">
        <v>75.3</v>
      </c>
      <c r="I1244" s="309" t="s">
        <v>49</v>
      </c>
      <c r="J1244" s="149"/>
      <c r="K1244" s="161"/>
      <c r="L1244" s="45"/>
      <c r="M1244" s="852"/>
    </row>
    <row r="1245" spans="1:13" ht="23.4" customHeight="1">
      <c r="A1245" s="819">
        <v>9</v>
      </c>
      <c r="B1245" s="831"/>
      <c r="C1245" s="819"/>
      <c r="D1245" s="225"/>
      <c r="E1245" s="214">
        <v>18</v>
      </c>
      <c r="F1245" s="819" t="s">
        <v>1948</v>
      </c>
      <c r="G1245" s="834" t="s">
        <v>19</v>
      </c>
      <c r="H1245" s="219">
        <v>50</v>
      </c>
      <c r="I1245" s="309" t="s">
        <v>64</v>
      </c>
      <c r="J1245" s="956" t="s">
        <v>2103</v>
      </c>
      <c r="K1245" s="161" t="s">
        <v>1949</v>
      </c>
      <c r="L1245" s="45">
        <v>1</v>
      </c>
      <c r="M1245" s="830"/>
    </row>
    <row r="1246" spans="1:13" ht="12.75" customHeight="1">
      <c r="A1246" s="819">
        <v>9</v>
      </c>
      <c r="B1246" s="831"/>
      <c r="C1246" s="819"/>
      <c r="D1246" s="225"/>
      <c r="E1246" s="766"/>
      <c r="F1246" s="828"/>
      <c r="G1246" s="771" t="s">
        <v>257</v>
      </c>
      <c r="H1246" s="772">
        <f>SUM(H1244+H1245)</f>
        <v>125.3</v>
      </c>
      <c r="I1246" s="309"/>
      <c r="J1246" s="829"/>
      <c r="K1246" s="161"/>
      <c r="L1246" s="45"/>
      <c r="M1246" s="830"/>
    </row>
    <row r="1247" spans="1:13" ht="21" customHeight="1">
      <c r="A1247" s="819">
        <v>9</v>
      </c>
      <c r="B1247" s="831"/>
      <c r="C1247" s="819" t="s">
        <v>1950</v>
      </c>
      <c r="D1247" s="781" t="s">
        <v>1951</v>
      </c>
      <c r="E1247" s="766">
        <v>18</v>
      </c>
      <c r="F1247" s="828" t="s">
        <v>1952</v>
      </c>
      <c r="G1247" s="834" t="s">
        <v>19</v>
      </c>
      <c r="H1247" s="219">
        <v>20</v>
      </c>
      <c r="I1247" s="309" t="s">
        <v>49</v>
      </c>
      <c r="J1247" s="956" t="s">
        <v>2104</v>
      </c>
      <c r="K1247" s="829" t="s">
        <v>1939</v>
      </c>
      <c r="L1247" s="835">
        <v>100</v>
      </c>
      <c r="M1247" s="830"/>
    </row>
    <row r="1248" spans="1:13" ht="12.75" customHeight="1">
      <c r="A1248" s="819">
        <v>9</v>
      </c>
      <c r="B1248" s="831"/>
      <c r="C1248" s="819"/>
      <c r="D1248" s="781"/>
      <c r="E1248" s="766"/>
      <c r="F1248" s="828"/>
      <c r="G1248" s="771" t="s">
        <v>257</v>
      </c>
      <c r="H1248" s="772">
        <f>SUM(H1247)</f>
        <v>20</v>
      </c>
      <c r="I1248" s="309"/>
      <c r="J1248" s="829"/>
      <c r="K1248" s="161"/>
      <c r="L1248" s="45"/>
      <c r="M1248" s="830"/>
    </row>
    <row r="1249" spans="1:16" ht="25.2" customHeight="1">
      <c r="A1249" s="819">
        <v>9</v>
      </c>
      <c r="B1249" s="831"/>
      <c r="C1249" s="819" t="s">
        <v>1953</v>
      </c>
      <c r="D1249" s="209" t="s">
        <v>1954</v>
      </c>
      <c r="E1249" s="766">
        <v>9</v>
      </c>
      <c r="F1249" s="828" t="s">
        <v>1955</v>
      </c>
      <c r="G1249" s="834" t="s">
        <v>19</v>
      </c>
      <c r="H1249" s="219">
        <v>33</v>
      </c>
      <c r="I1249" s="309" t="s">
        <v>58</v>
      </c>
      <c r="J1249" s="829"/>
      <c r="K1249" s="161"/>
      <c r="L1249" s="45"/>
      <c r="M1249" s="830"/>
    </row>
    <row r="1250" spans="1:16" ht="36.75" customHeight="1">
      <c r="A1250" s="819">
        <v>9</v>
      </c>
      <c r="B1250" s="831"/>
      <c r="C1250" s="819"/>
      <c r="D1250" s="209"/>
      <c r="E1250" s="766">
        <v>9</v>
      </c>
      <c r="F1250" s="828" t="s">
        <v>1955</v>
      </c>
      <c r="G1250" s="819" t="s">
        <v>56</v>
      </c>
      <c r="H1250" s="219">
        <f>195.8-150</f>
        <v>45.800000000000011</v>
      </c>
      <c r="I1250" s="309"/>
      <c r="J1250" s="956" t="s">
        <v>2105</v>
      </c>
      <c r="K1250" s="161" t="s">
        <v>1956</v>
      </c>
      <c r="L1250" s="45">
        <v>2</v>
      </c>
      <c r="M1250" s="150"/>
    </row>
    <row r="1251" spans="1:16" ht="12.75" customHeight="1">
      <c r="A1251" s="819">
        <v>9</v>
      </c>
      <c r="B1251" s="831"/>
      <c r="C1251" s="819"/>
      <c r="D1251" s="209"/>
      <c r="E1251" s="766"/>
      <c r="F1251" s="828"/>
      <c r="G1251" s="771" t="s">
        <v>257</v>
      </c>
      <c r="H1251" s="772">
        <f>SUM(H1249:H1250)</f>
        <v>78.800000000000011</v>
      </c>
      <c r="I1251" s="309"/>
      <c r="J1251" s="829"/>
      <c r="K1251" s="161"/>
      <c r="L1251" s="45"/>
      <c r="M1251" s="830"/>
    </row>
    <row r="1252" spans="1:16" ht="31.5" customHeight="1">
      <c r="A1252" s="819">
        <v>9</v>
      </c>
      <c r="B1252" s="831"/>
      <c r="C1252" s="819" t="s">
        <v>1957</v>
      </c>
      <c r="D1252" s="781" t="s">
        <v>1958</v>
      </c>
      <c r="E1252" s="214">
        <v>9</v>
      </c>
      <c r="F1252" s="819" t="s">
        <v>1959</v>
      </c>
      <c r="G1252" s="834" t="s">
        <v>19</v>
      </c>
      <c r="H1252" s="575">
        <v>0</v>
      </c>
      <c r="I1252" s="309" t="s">
        <v>64</v>
      </c>
      <c r="J1252" s="829" t="s">
        <v>65</v>
      </c>
      <c r="K1252" s="161" t="s">
        <v>1960</v>
      </c>
      <c r="L1252" s="45">
        <v>20</v>
      </c>
      <c r="M1252" s="830" t="s">
        <v>373</v>
      </c>
    </row>
    <row r="1253" spans="1:16" ht="18.75" customHeight="1">
      <c r="A1253" s="819">
        <v>9</v>
      </c>
      <c r="B1253" s="853"/>
      <c r="C1253" s="854"/>
      <c r="D1253" s="782"/>
      <c r="E1253" s="783">
        <v>21</v>
      </c>
      <c r="F1253" s="854" t="s">
        <v>1961</v>
      </c>
      <c r="G1253" s="819" t="s">
        <v>19</v>
      </c>
      <c r="H1253" s="219">
        <v>70</v>
      </c>
      <c r="I1253" s="309"/>
      <c r="J1253" s="829" t="s">
        <v>289</v>
      </c>
      <c r="K1253" s="161" t="s">
        <v>199</v>
      </c>
      <c r="L1253" s="45">
        <v>1</v>
      </c>
      <c r="M1253" s="844" t="s">
        <v>189</v>
      </c>
    </row>
    <row r="1254" spans="1:16" ht="12.75" customHeight="1">
      <c r="A1254" s="819">
        <v>9</v>
      </c>
      <c r="B1254" s="831"/>
      <c r="C1254" s="819"/>
      <c r="D1254" s="781"/>
      <c r="E1254" s="766"/>
      <c r="F1254" s="828"/>
      <c r="G1254" s="771" t="s">
        <v>257</v>
      </c>
      <c r="H1254" s="772">
        <f>SUM(H1252:H1253)</f>
        <v>70</v>
      </c>
      <c r="I1254" s="309"/>
      <c r="J1254" s="829"/>
      <c r="K1254" s="161"/>
      <c r="L1254" s="45"/>
      <c r="M1254" s="844"/>
    </row>
    <row r="1255" spans="1:16" ht="12.75" hidden="1" customHeight="1">
      <c r="A1255" s="819">
        <v>9</v>
      </c>
      <c r="B1255" s="309"/>
      <c r="C1255" s="309"/>
      <c r="D1255" s="435"/>
      <c r="E1255" s="309"/>
      <c r="F1255" s="309"/>
      <c r="G1255" s="301" t="s">
        <v>257</v>
      </c>
      <c r="H1255" s="301">
        <f>SUM(H1009+H1017+H1064+H1173+H1184+H1221)</f>
        <v>24362.700000000004</v>
      </c>
      <c r="I1255" s="384"/>
      <c r="J1255" s="173"/>
      <c r="K1255" s="161"/>
      <c r="L1255" s="45"/>
      <c r="M1255" s="143"/>
      <c r="P1255" s="949"/>
    </row>
    <row r="1256" spans="1:16" ht="12.75" hidden="1" customHeight="1">
      <c r="A1256" s="819">
        <v>9</v>
      </c>
      <c r="B1256" s="309"/>
      <c r="C1256" s="309"/>
      <c r="D1256" s="435"/>
      <c r="E1256" s="309"/>
      <c r="F1256" s="309"/>
      <c r="G1256" s="214" t="s">
        <v>19</v>
      </c>
      <c r="H1256" s="211">
        <f>SUM(H1007+H1015+H1051+H1172+H1179+H1212)</f>
        <v>19895.100000000002</v>
      </c>
      <c r="I1256" s="211"/>
      <c r="J1256" s="68"/>
      <c r="K1256" s="161"/>
      <c r="L1256" s="45"/>
      <c r="M1256" s="143"/>
    </row>
    <row r="1257" spans="1:16" ht="12.75" hidden="1" customHeight="1">
      <c r="A1257" s="819">
        <v>9</v>
      </c>
      <c r="B1257" s="309"/>
      <c r="C1257" s="309"/>
      <c r="D1257" s="435"/>
      <c r="E1257" s="309"/>
      <c r="F1257" s="309"/>
      <c r="G1257" s="210" t="s">
        <v>21</v>
      </c>
      <c r="H1257" s="211">
        <f>SUM(H1008+H1053+H1182+H1218)</f>
        <v>32.799999999999997</v>
      </c>
      <c r="I1257" s="211"/>
      <c r="J1257" s="68"/>
      <c r="K1257" s="161"/>
      <c r="L1257" s="45"/>
      <c r="M1257" s="143"/>
    </row>
    <row r="1258" spans="1:16" ht="12.75" hidden="1" customHeight="1">
      <c r="A1258" s="819">
        <v>9</v>
      </c>
      <c r="B1258" s="309"/>
      <c r="C1258" s="309"/>
      <c r="D1258" s="435"/>
      <c r="E1258" s="309"/>
      <c r="F1258" s="309"/>
      <c r="G1258" s="214" t="s">
        <v>278</v>
      </c>
      <c r="H1258" s="211">
        <f>SUM(H1054)</f>
        <v>696.20000000000016</v>
      </c>
      <c r="I1258" s="211"/>
      <c r="J1258" s="68"/>
      <c r="K1258" s="161"/>
      <c r="L1258" s="45"/>
      <c r="M1258" s="143"/>
      <c r="P1258" s="949"/>
    </row>
    <row r="1259" spans="1:16" ht="12.75" hidden="1" customHeight="1">
      <c r="A1259" s="819">
        <v>9</v>
      </c>
      <c r="B1259" s="309"/>
      <c r="C1259" s="309"/>
      <c r="D1259" s="435"/>
      <c r="E1259" s="309"/>
      <c r="F1259" s="309"/>
      <c r="G1259" s="210" t="s">
        <v>178</v>
      </c>
      <c r="H1259" s="211">
        <f>H1235</f>
        <v>600</v>
      </c>
      <c r="I1259" s="211"/>
      <c r="J1259" s="68"/>
      <c r="K1259" s="161"/>
      <c r="L1259" s="45"/>
      <c r="M1259" s="143"/>
    </row>
    <row r="1260" spans="1:16" ht="12.75" hidden="1" customHeight="1">
      <c r="A1260" s="819">
        <v>9</v>
      </c>
      <c r="B1260" s="309"/>
      <c r="C1260" s="309"/>
      <c r="D1260" s="435"/>
      <c r="E1260" s="309"/>
      <c r="F1260" s="309"/>
      <c r="G1260" s="210" t="s">
        <v>176</v>
      </c>
      <c r="H1260" s="211"/>
      <c r="I1260" s="211"/>
      <c r="J1260" s="68"/>
      <c r="K1260" s="161"/>
      <c r="L1260" s="45"/>
      <c r="M1260" s="143"/>
    </row>
    <row r="1261" spans="1:16" ht="12.75" hidden="1" customHeight="1">
      <c r="A1261" s="819">
        <v>9</v>
      </c>
      <c r="B1261" s="309"/>
      <c r="C1261" s="309"/>
      <c r="D1261" s="435"/>
      <c r="E1261" s="309"/>
      <c r="F1261" s="309"/>
      <c r="G1261" s="210" t="s">
        <v>22</v>
      </c>
      <c r="H1261" s="211">
        <f>SUM(H1023,H1039,H1041,H1044,H1046,H1241)</f>
        <v>107.4</v>
      </c>
      <c r="I1261" s="211"/>
      <c r="J1261" s="68"/>
      <c r="K1261" s="161"/>
      <c r="L1261" s="45"/>
      <c r="M1261" s="143"/>
    </row>
    <row r="1262" spans="1:16" ht="12.75" hidden="1" customHeight="1">
      <c r="A1262" s="819">
        <v>9</v>
      </c>
      <c r="B1262" s="309"/>
      <c r="C1262" s="309"/>
      <c r="D1262" s="435"/>
      <c r="E1262" s="309"/>
      <c r="F1262" s="309"/>
      <c r="G1262" s="210" t="s">
        <v>606</v>
      </c>
      <c r="H1262" s="211">
        <f>H1242</f>
        <v>0</v>
      </c>
      <c r="I1262" s="211"/>
      <c r="J1262" s="68"/>
      <c r="K1262" s="161"/>
      <c r="L1262" s="45"/>
      <c r="M1262" s="143"/>
    </row>
    <row r="1263" spans="1:16" ht="12.75" hidden="1" customHeight="1">
      <c r="A1263" s="819">
        <v>9</v>
      </c>
      <c r="B1263" s="309"/>
      <c r="C1263" s="309"/>
      <c r="D1263" s="435"/>
      <c r="E1263" s="309"/>
      <c r="F1263" s="309"/>
      <c r="G1263" s="210" t="s">
        <v>1746</v>
      </c>
      <c r="H1263" s="211">
        <f>SUM(H1101)</f>
        <v>7.3</v>
      </c>
      <c r="I1263" s="211"/>
      <c r="J1263" s="68"/>
      <c r="K1263" s="161"/>
      <c r="L1263" s="45"/>
      <c r="M1263" s="143"/>
    </row>
    <row r="1264" spans="1:16" ht="12.75" hidden="1" customHeight="1">
      <c r="A1264" s="819">
        <v>9</v>
      </c>
      <c r="B1264" s="309"/>
      <c r="C1264" s="309"/>
      <c r="D1264" s="435"/>
      <c r="E1264" s="309"/>
      <c r="F1264" s="309"/>
      <c r="G1264" s="210" t="s">
        <v>1749</v>
      </c>
      <c r="H1264" s="211">
        <f>H1102</f>
        <v>7.3</v>
      </c>
      <c r="I1264" s="211"/>
      <c r="J1264" s="68"/>
      <c r="K1264" s="161"/>
      <c r="L1264" s="45"/>
      <c r="M1264" s="143"/>
    </row>
    <row r="1265" spans="1:13" ht="12.75" hidden="1" customHeight="1">
      <c r="A1265" s="819">
        <v>9</v>
      </c>
      <c r="B1265" s="309"/>
      <c r="C1265" s="309"/>
      <c r="D1265" s="435"/>
      <c r="E1265" s="309"/>
      <c r="F1265" s="309"/>
      <c r="G1265" s="210" t="s">
        <v>258</v>
      </c>
      <c r="H1265" s="211"/>
      <c r="I1265" s="211"/>
      <c r="J1265" s="68"/>
      <c r="K1265" s="161"/>
      <c r="L1265" s="45"/>
      <c r="M1265" s="143"/>
    </row>
    <row r="1266" spans="1:13" ht="12.75" hidden="1" customHeight="1">
      <c r="A1266" s="819">
        <v>9</v>
      </c>
      <c r="B1266" s="309"/>
      <c r="C1266" s="309"/>
      <c r="D1266" s="435"/>
      <c r="E1266" s="309"/>
      <c r="F1266" s="309"/>
      <c r="G1266" s="210" t="s">
        <v>259</v>
      </c>
      <c r="H1266" s="211">
        <f>SUM(H1190+H1079)</f>
        <v>10</v>
      </c>
      <c r="I1266" s="211"/>
      <c r="J1266" s="68"/>
      <c r="K1266" s="161"/>
      <c r="L1266" s="45"/>
      <c r="M1266" s="143"/>
    </row>
    <row r="1267" spans="1:13" ht="12.75" hidden="1" customHeight="1">
      <c r="A1267" s="819">
        <v>9</v>
      </c>
      <c r="B1267" s="309"/>
      <c r="C1267" s="309"/>
      <c r="D1267" s="435"/>
      <c r="E1267" s="309"/>
      <c r="F1267" s="309"/>
      <c r="G1267" s="309" t="s">
        <v>437</v>
      </c>
      <c r="H1267" s="211">
        <f>SUM(H1225,H1234)</f>
        <v>200</v>
      </c>
      <c r="I1267" s="211"/>
      <c r="J1267" s="68"/>
      <c r="K1267" s="161"/>
      <c r="L1267" s="45"/>
      <c r="M1267" s="143"/>
    </row>
    <row r="1268" spans="1:13" ht="12.75" hidden="1" customHeight="1">
      <c r="A1268" s="819">
        <v>9</v>
      </c>
      <c r="B1268" s="309"/>
      <c r="C1268" s="309"/>
      <c r="D1268" s="435"/>
      <c r="E1268" s="309"/>
      <c r="F1268" s="309"/>
      <c r="G1268" s="313" t="s">
        <v>1923</v>
      </c>
      <c r="H1268" s="211">
        <f>H1226</f>
        <v>5</v>
      </c>
      <c r="I1268" s="211"/>
      <c r="J1268" s="68"/>
      <c r="K1268" s="161"/>
      <c r="L1268" s="45"/>
      <c r="M1268" s="143"/>
    </row>
    <row r="1269" spans="1:13" ht="12.75" hidden="1" customHeight="1">
      <c r="A1269" s="819">
        <v>9</v>
      </c>
      <c r="B1269" s="309"/>
      <c r="C1269" s="309"/>
      <c r="D1269" s="435"/>
      <c r="E1269" s="309"/>
      <c r="F1269" s="309"/>
      <c r="G1269" s="309" t="s">
        <v>500</v>
      </c>
      <c r="H1269" s="211"/>
      <c r="I1269" s="211"/>
      <c r="J1269" s="68"/>
      <c r="K1269" s="161"/>
      <c r="L1269" s="45"/>
      <c r="M1269" s="143"/>
    </row>
    <row r="1270" spans="1:13" ht="12.75" hidden="1" customHeight="1">
      <c r="A1270" s="819">
        <v>9</v>
      </c>
      <c r="B1270" s="309"/>
      <c r="C1270" s="309"/>
      <c r="D1270" s="435"/>
      <c r="E1270" s="309"/>
      <c r="F1270" s="309"/>
      <c r="G1270" s="210" t="s">
        <v>56</v>
      </c>
      <c r="H1270" s="211">
        <f>SUM(H1250,H1166,H1163,H1207,H1169,H1236)</f>
        <v>1917.9</v>
      </c>
      <c r="I1270" s="211"/>
      <c r="J1270" s="68"/>
      <c r="K1270" s="161"/>
      <c r="L1270" s="45"/>
      <c r="M1270" s="143"/>
    </row>
    <row r="1271" spans="1:13" ht="12.75" hidden="1" customHeight="1">
      <c r="A1271" s="819">
        <v>9</v>
      </c>
      <c r="B1271" s="309"/>
      <c r="C1271" s="309"/>
      <c r="D1271" s="435"/>
      <c r="E1271" s="309"/>
      <c r="F1271" s="309"/>
      <c r="G1271" s="210" t="s">
        <v>59</v>
      </c>
      <c r="H1271" s="211">
        <f>SUM(H1061)</f>
        <v>15.799999999999999</v>
      </c>
      <c r="I1271" s="211"/>
      <c r="J1271" s="68"/>
      <c r="K1271" s="161"/>
      <c r="L1271" s="45"/>
      <c r="M1271" s="143"/>
    </row>
    <row r="1272" spans="1:13" ht="12.75" hidden="1" customHeight="1">
      <c r="A1272" s="819">
        <v>9</v>
      </c>
      <c r="B1272" s="309"/>
      <c r="C1272" s="309"/>
      <c r="D1272" s="435"/>
      <c r="E1272" s="309"/>
      <c r="F1272" s="309"/>
      <c r="G1272" s="210" t="s">
        <v>75</v>
      </c>
      <c r="H1272" s="211">
        <f>SUM(H1197,H1233)</f>
        <v>460.8</v>
      </c>
      <c r="I1272" s="211"/>
      <c r="J1272" s="68"/>
      <c r="K1272" s="161"/>
      <c r="L1272" s="45"/>
      <c r="M1272" s="143"/>
    </row>
    <row r="1273" spans="1:13" ht="12.75" hidden="1" customHeight="1">
      <c r="A1273" s="819">
        <v>9</v>
      </c>
      <c r="B1273" s="309"/>
      <c r="C1273" s="309"/>
      <c r="D1273" s="435"/>
      <c r="E1273" s="309"/>
      <c r="F1273" s="309"/>
      <c r="G1273" s="210" t="s">
        <v>23</v>
      </c>
      <c r="H1273" s="211">
        <f>SUM(H1057)</f>
        <v>0</v>
      </c>
      <c r="I1273" s="211"/>
      <c r="J1273" s="68"/>
      <c r="K1273" s="161"/>
      <c r="L1273" s="45"/>
      <c r="M1273" s="143"/>
    </row>
    <row r="1274" spans="1:13" ht="12.75" hidden="1" customHeight="1">
      <c r="A1274" s="819">
        <v>9</v>
      </c>
      <c r="B1274" s="309"/>
      <c r="C1274" s="309"/>
      <c r="D1274" s="435"/>
      <c r="E1274" s="309"/>
      <c r="F1274" s="309"/>
      <c r="G1274" s="210" t="s">
        <v>712</v>
      </c>
      <c r="H1274" s="211"/>
      <c r="I1274" s="211"/>
      <c r="J1274" s="68"/>
      <c r="K1274" s="161"/>
      <c r="L1274" s="45"/>
      <c r="M1274" s="143"/>
    </row>
    <row r="1275" spans="1:13" ht="12.75" hidden="1" customHeight="1">
      <c r="A1275" s="819">
        <v>9</v>
      </c>
      <c r="B1275" s="309"/>
      <c r="C1275" s="309"/>
      <c r="D1275" s="435"/>
      <c r="E1275" s="309"/>
      <c r="F1275" s="309"/>
      <c r="G1275" s="214" t="s">
        <v>1468</v>
      </c>
      <c r="H1275" s="211">
        <f>H1099</f>
        <v>407.1</v>
      </c>
      <c r="I1275" s="211"/>
      <c r="J1275" s="68"/>
      <c r="K1275" s="161"/>
      <c r="L1275" s="45"/>
      <c r="M1275" s="143"/>
    </row>
    <row r="1276" spans="1:13" ht="12.75" hidden="1" customHeight="1">
      <c r="A1276" s="819">
        <v>9</v>
      </c>
      <c r="B1276" s="309"/>
      <c r="C1276" s="309"/>
      <c r="D1276" s="435"/>
      <c r="E1276" s="309"/>
      <c r="F1276" s="309"/>
      <c r="G1276" s="301" t="s">
        <v>257</v>
      </c>
      <c r="H1276" s="301">
        <f>SUM(H1256:H1275)</f>
        <v>24362.7</v>
      </c>
      <c r="I1276" s="384"/>
      <c r="J1276" s="68"/>
      <c r="K1276" s="161"/>
      <c r="L1276" s="45"/>
      <c r="M1276" s="143"/>
    </row>
    <row r="1277" spans="1:13" ht="12.75" customHeight="1">
      <c r="A1277" s="469"/>
      <c r="B1277" s="469"/>
      <c r="C1277" s="469"/>
      <c r="D1277" s="784"/>
      <c r="E1277" s="469"/>
      <c r="F1277" s="469"/>
      <c r="G1277" s="785"/>
      <c r="H1277" s="786">
        <f>H1255-H1276</f>
        <v>0</v>
      </c>
      <c r="I1277" s="786"/>
      <c r="J1277" s="174"/>
      <c r="K1277" s="172"/>
      <c r="L1277" s="151"/>
      <c r="M1277" s="59"/>
    </row>
    <row r="1278" spans="1:13" ht="12.75" customHeight="1">
      <c r="G1278" s="954"/>
      <c r="H1278" s="955"/>
      <c r="J1278" s="158"/>
      <c r="K1278" s="172"/>
      <c r="L1278" s="151"/>
      <c r="M1278" s="59"/>
    </row>
    <row r="1279" spans="1:13" ht="12.75" customHeight="1">
      <c r="J1279" s="158"/>
      <c r="K1279" s="172"/>
      <c r="L1279" s="151"/>
      <c r="M1279" s="59"/>
    </row>
    <row r="1280" spans="1:13" ht="12.75" customHeight="1">
      <c r="J1280" s="158"/>
      <c r="K1280" s="172"/>
      <c r="L1280" s="151"/>
      <c r="M1280" s="59"/>
    </row>
    <row r="1281" spans="10:13" ht="12.75" customHeight="1">
      <c r="J1281" s="158"/>
      <c r="K1281" s="172"/>
      <c r="L1281" s="151"/>
      <c r="M1281" s="59"/>
    </row>
  </sheetData>
  <sheetProtection formatCells="0" formatColumns="0" formatRows="0" sort="0" autoFilter="0"/>
  <protectedRanges>
    <protectedRange sqref="J89:J92" name="Diapazonas1_2"/>
  </protectedRanges>
  <autoFilter ref="A3:M1277" xr:uid="{00000000-0009-0000-0000-00000E000000}"/>
  <mergeCells count="67">
    <mergeCell ref="D932:D933"/>
    <mergeCell ref="D836:D837"/>
    <mergeCell ref="D854:D855"/>
    <mergeCell ref="D856:D857"/>
    <mergeCell ref="D861:D863"/>
    <mergeCell ref="D930:D931"/>
    <mergeCell ref="D820:D823"/>
    <mergeCell ref="D824:D827"/>
    <mergeCell ref="D828:D829"/>
    <mergeCell ref="D830:D831"/>
    <mergeCell ref="D832:D833"/>
    <mergeCell ref="D729:D730"/>
    <mergeCell ref="D749:D750"/>
    <mergeCell ref="D751:D752"/>
    <mergeCell ref="D799:D800"/>
    <mergeCell ref="D818:D819"/>
    <mergeCell ref="D715:D716"/>
    <mergeCell ref="D717:D718"/>
    <mergeCell ref="D719:D723"/>
    <mergeCell ref="D724:D725"/>
    <mergeCell ref="D727:D728"/>
    <mergeCell ref="D701:D702"/>
    <mergeCell ref="D703:D704"/>
    <mergeCell ref="D705:D708"/>
    <mergeCell ref="D709:D710"/>
    <mergeCell ref="D711:D714"/>
    <mergeCell ref="D690:D691"/>
    <mergeCell ref="D692:D693"/>
    <mergeCell ref="D694:D695"/>
    <mergeCell ref="D696:D697"/>
    <mergeCell ref="D698:D699"/>
    <mergeCell ref="D677:D679"/>
    <mergeCell ref="D680:D683"/>
    <mergeCell ref="D684:D685"/>
    <mergeCell ref="D686:D687"/>
    <mergeCell ref="D688:D689"/>
    <mergeCell ref="D637:D638"/>
    <mergeCell ref="D640:D641"/>
    <mergeCell ref="D646:D648"/>
    <mergeCell ref="D659:D661"/>
    <mergeCell ref="D289:D291"/>
    <mergeCell ref="D384:D387"/>
    <mergeCell ref="D623:D624"/>
    <mergeCell ref="D631:D635"/>
    <mergeCell ref="D214:D217"/>
    <mergeCell ref="D219:D221"/>
    <mergeCell ref="D227:D228"/>
    <mergeCell ref="D111:D113"/>
    <mergeCell ref="D174:D175"/>
    <mergeCell ref="D181:D183"/>
    <mergeCell ref="D209:D210"/>
    <mergeCell ref="D10:D13"/>
    <mergeCell ref="D61:D64"/>
    <mergeCell ref="D36:D37"/>
    <mergeCell ref="D16:D18"/>
    <mergeCell ref="D25:D29"/>
    <mergeCell ref="D39:D40"/>
    <mergeCell ref="M3:M4"/>
    <mergeCell ref="D1:G1"/>
    <mergeCell ref="A3:A4"/>
    <mergeCell ref="B3:B4"/>
    <mergeCell ref="C3:C4"/>
    <mergeCell ref="D3:D4"/>
    <mergeCell ref="E3:E4"/>
    <mergeCell ref="F3:F4"/>
    <mergeCell ref="G3:G4"/>
    <mergeCell ref="L1:M1"/>
  </mergeCells>
  <phoneticPr fontId="11" type="noConversion"/>
  <pageMargins left="0.23622047244094491" right="0.56818181818181823" top="0.74803149606299213" bottom="0.74803149606299213" header="0.31496062992125984" footer="0.31496062992125984"/>
  <pageSetup paperSize="9" scale="66" fitToHeight="0" orientation="landscape" horizontalDpi="4294967293" verticalDpi="4294967293" r:id="rId1"/>
  <headerFooter alignWithMargins="0">
    <oddHeader>&amp;C&amp;P</oddHeader>
  </headerFooter>
  <ignoredErrors>
    <ignoredError sqref="E1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3.2"/>
  <cols>
    <col min="2" max="2" width="27.44140625" customWidth="1"/>
    <col min="3" max="3" width="21.6640625" customWidth="1"/>
    <col min="4" max="4" width="15.44140625" customWidth="1"/>
    <col min="5" max="5" width="12.88671875" customWidth="1"/>
    <col min="6" max="6" width="11" customWidth="1"/>
    <col min="7" max="7" width="12.5546875" customWidth="1"/>
    <col min="11" max="11" width="27.5546875" customWidth="1"/>
    <col min="12" max="12" width="26.88671875" customWidth="1"/>
  </cols>
  <sheetData>
    <row r="2" spans="2:12" ht="12.75" customHeight="1">
      <c r="B2" s="1016" t="s">
        <v>1962</v>
      </c>
      <c r="C2" s="1016" t="s">
        <v>1963</v>
      </c>
      <c r="D2" s="26" t="s">
        <v>1964</v>
      </c>
      <c r="E2" s="27" t="s">
        <v>661</v>
      </c>
      <c r="F2" s="1022" t="s">
        <v>1965</v>
      </c>
      <c r="G2" s="1019"/>
    </row>
    <row r="3" spans="2:12" ht="12.75" customHeight="1">
      <c r="B3" s="1020"/>
      <c r="C3" s="1020"/>
      <c r="D3" s="1023" t="s">
        <v>1966</v>
      </c>
      <c r="E3" s="28" t="s">
        <v>1967</v>
      </c>
      <c r="F3" s="29" t="s">
        <v>1968</v>
      </c>
      <c r="G3" s="30" t="s">
        <v>1969</v>
      </c>
      <c r="K3" s="1025" t="s">
        <v>1970</v>
      </c>
      <c r="L3" s="1016" t="s">
        <v>1971</v>
      </c>
    </row>
    <row r="4" spans="2:12" ht="27.6">
      <c r="B4" s="1021"/>
      <c r="C4" s="1021"/>
      <c r="D4" s="1024"/>
      <c r="E4" s="31" t="s">
        <v>1972</v>
      </c>
      <c r="F4" s="1018">
        <v>2026</v>
      </c>
      <c r="G4" s="1019"/>
      <c r="K4" s="1024"/>
      <c r="L4" s="1017"/>
    </row>
    <row r="5" spans="2:12" ht="18">
      <c r="B5" s="32">
        <v>1</v>
      </c>
      <c r="C5" s="33" t="s">
        <v>222</v>
      </c>
      <c r="D5" s="34">
        <v>1123</v>
      </c>
      <c r="E5" s="35">
        <v>54.68</v>
      </c>
      <c r="F5" s="36">
        <v>3.28</v>
      </c>
      <c r="G5" s="37">
        <v>63.9</v>
      </c>
      <c r="K5" s="38">
        <v>1133</v>
      </c>
      <c r="L5" s="39">
        <v>1130</v>
      </c>
    </row>
    <row r="6" spans="2:12" ht="18">
      <c r="B6" s="32">
        <v>2</v>
      </c>
      <c r="C6" s="33" t="s">
        <v>562</v>
      </c>
      <c r="D6" s="38">
        <v>5539</v>
      </c>
      <c r="E6" s="35">
        <v>73.319999999999993</v>
      </c>
      <c r="F6" s="36">
        <v>7.02</v>
      </c>
      <c r="G6" s="37">
        <v>136.80000000000001</v>
      </c>
      <c r="K6" s="38">
        <v>5420</v>
      </c>
      <c r="L6" s="39">
        <v>5340</v>
      </c>
    </row>
    <row r="7" spans="2:12" ht="18">
      <c r="B7" s="32">
        <v>3</v>
      </c>
      <c r="C7" s="33" t="s">
        <v>189</v>
      </c>
      <c r="D7" s="38">
        <v>6940</v>
      </c>
      <c r="E7" s="35">
        <v>118.82</v>
      </c>
      <c r="F7" s="36">
        <v>10.050000000000001</v>
      </c>
      <c r="G7" s="37">
        <v>195.9</v>
      </c>
      <c r="K7" s="38">
        <v>6841</v>
      </c>
      <c r="L7" s="39">
        <v>6760</v>
      </c>
    </row>
    <row r="8" spans="2:12" ht="18">
      <c r="B8" s="32">
        <v>4</v>
      </c>
      <c r="C8" s="33" t="s">
        <v>256</v>
      </c>
      <c r="D8" s="38">
        <v>1361</v>
      </c>
      <c r="E8" s="35">
        <v>79.489999999999995</v>
      </c>
      <c r="F8" s="36">
        <v>4.58</v>
      </c>
      <c r="G8" s="37">
        <v>89.4</v>
      </c>
      <c r="K8" s="34">
        <v>1358</v>
      </c>
      <c r="L8" s="39">
        <v>1364</v>
      </c>
    </row>
    <row r="9" spans="2:12" ht="18">
      <c r="B9" s="32">
        <v>5</v>
      </c>
      <c r="C9" s="33" t="s">
        <v>67</v>
      </c>
      <c r="D9" s="38">
        <v>15498</v>
      </c>
      <c r="E9" s="35">
        <v>63.43</v>
      </c>
      <c r="F9" s="36">
        <v>13.04</v>
      </c>
      <c r="G9" s="37">
        <v>254.3</v>
      </c>
      <c r="K9" s="34">
        <v>15369</v>
      </c>
      <c r="L9" s="39">
        <v>15613</v>
      </c>
    </row>
    <row r="10" spans="2:12" ht="18">
      <c r="B10" s="32">
        <v>6</v>
      </c>
      <c r="C10" s="33" t="s">
        <v>373</v>
      </c>
      <c r="D10" s="34">
        <v>565</v>
      </c>
      <c r="E10" s="35">
        <v>41.82</v>
      </c>
      <c r="F10" s="36">
        <v>2.31</v>
      </c>
      <c r="G10" s="37">
        <v>45.1</v>
      </c>
      <c r="K10" s="34">
        <v>579</v>
      </c>
      <c r="L10" s="39">
        <v>580</v>
      </c>
    </row>
    <row r="11" spans="2:12" ht="18">
      <c r="B11" s="32">
        <v>7</v>
      </c>
      <c r="C11" s="33" t="s">
        <v>228</v>
      </c>
      <c r="D11" s="38">
        <v>6598</v>
      </c>
      <c r="E11" s="35">
        <v>120.74</v>
      </c>
      <c r="F11" s="36">
        <v>9.91</v>
      </c>
      <c r="G11" s="37">
        <v>193.3</v>
      </c>
      <c r="K11" s="34">
        <v>6512</v>
      </c>
      <c r="L11" s="39">
        <v>6520</v>
      </c>
    </row>
    <row r="12" spans="2:12" ht="18">
      <c r="B12" s="32">
        <v>8</v>
      </c>
      <c r="C12" s="33" t="s">
        <v>192</v>
      </c>
      <c r="D12" s="38">
        <v>11060</v>
      </c>
      <c r="E12" s="35">
        <v>143.26</v>
      </c>
      <c r="F12" s="36">
        <v>13.87</v>
      </c>
      <c r="G12" s="37">
        <v>270.39999999999998</v>
      </c>
      <c r="K12" s="34">
        <v>10830</v>
      </c>
      <c r="L12" s="39">
        <v>10866</v>
      </c>
    </row>
    <row r="13" spans="2:12" ht="18">
      <c r="B13" s="32">
        <v>9</v>
      </c>
      <c r="C13" s="33" t="s">
        <v>185</v>
      </c>
      <c r="D13" s="38">
        <v>21086</v>
      </c>
      <c r="E13" s="35">
        <v>94.27</v>
      </c>
      <c r="F13" s="36">
        <v>18.11</v>
      </c>
      <c r="G13" s="37">
        <v>353.2</v>
      </c>
      <c r="K13" s="34">
        <v>20131</v>
      </c>
      <c r="L13" s="39">
        <v>20200</v>
      </c>
    </row>
    <row r="14" spans="2:12" ht="18">
      <c r="B14" s="32">
        <v>10</v>
      </c>
      <c r="C14" s="33" t="s">
        <v>200</v>
      </c>
      <c r="D14" s="34">
        <v>2583</v>
      </c>
      <c r="E14" s="35">
        <v>127.62</v>
      </c>
      <c r="F14" s="36">
        <v>7.62</v>
      </c>
      <c r="G14" s="37">
        <v>148.6</v>
      </c>
      <c r="K14" s="34">
        <v>2590</v>
      </c>
      <c r="L14" s="39">
        <v>2596</v>
      </c>
    </row>
    <row r="15" spans="2:12" ht="18">
      <c r="B15" s="32">
        <v>11</v>
      </c>
      <c r="C15" s="33" t="s">
        <v>227</v>
      </c>
      <c r="D15" s="34">
        <v>4457</v>
      </c>
      <c r="E15" s="35">
        <v>157.01</v>
      </c>
      <c r="F15" s="36">
        <v>10.210000000000001</v>
      </c>
      <c r="G15" s="37">
        <v>199.1</v>
      </c>
      <c r="K15" s="34">
        <v>4481</v>
      </c>
      <c r="L15" s="39">
        <v>4501</v>
      </c>
    </row>
    <row r="16" spans="2:12" ht="18">
      <c r="B16" s="40" t="s">
        <v>1973</v>
      </c>
      <c r="C16" s="36" t="s">
        <v>661</v>
      </c>
      <c r="D16" s="41">
        <v>76810</v>
      </c>
      <c r="E16" s="41">
        <v>1074.45</v>
      </c>
      <c r="F16" s="37">
        <v>100</v>
      </c>
      <c r="G16" s="42">
        <v>1950</v>
      </c>
      <c r="K16" s="41">
        <v>75244</v>
      </c>
      <c r="L16" s="43">
        <v>75470</v>
      </c>
    </row>
    <row r="20" spans="7:7">
      <c r="G20" t="s">
        <v>1974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82FB-819C-4BBC-A853-D6D245751CC0}">
  <dimension ref="B1:D109"/>
  <sheetViews>
    <sheetView topLeftCell="A54" workbookViewId="0">
      <selection activeCell="D92" sqref="D92"/>
    </sheetView>
  </sheetViews>
  <sheetFormatPr defaultRowHeight="13.2"/>
  <cols>
    <col min="2" max="2" width="45.33203125" customWidth="1"/>
    <col min="3" max="3" width="12.88671875" style="16" customWidth="1"/>
    <col min="4" max="4" width="23.88671875" customWidth="1"/>
  </cols>
  <sheetData>
    <row r="1" spans="2:4" ht="13.8" thickBot="1">
      <c r="C1"/>
    </row>
    <row r="2" spans="2:4" ht="28.2" thickBot="1">
      <c r="B2" s="1" t="s">
        <v>1975</v>
      </c>
      <c r="C2" s="2" t="s">
        <v>1976</v>
      </c>
      <c r="D2" s="3" t="s">
        <v>1977</v>
      </c>
    </row>
    <row r="3" spans="2:4" ht="24.75" customHeight="1">
      <c r="B3" s="4"/>
      <c r="C3" s="5"/>
      <c r="D3" s="6"/>
    </row>
    <row r="4" spans="2:4" ht="25.5" customHeight="1">
      <c r="B4" s="7" t="s">
        <v>1978</v>
      </c>
      <c r="C4" s="8">
        <v>1</v>
      </c>
      <c r="D4" s="9" t="s">
        <v>1979</v>
      </c>
    </row>
    <row r="5" spans="2:4" ht="25.5" customHeight="1">
      <c r="B5" s="10" t="s">
        <v>1980</v>
      </c>
      <c r="C5" s="8">
        <v>2</v>
      </c>
      <c r="D5" s="9" t="s">
        <v>1981</v>
      </c>
    </row>
    <row r="6" spans="2:4" ht="25.5" customHeight="1">
      <c r="B6" s="10" t="s">
        <v>1982</v>
      </c>
      <c r="C6" s="8">
        <v>3</v>
      </c>
      <c r="D6" s="9" t="s">
        <v>1983</v>
      </c>
    </row>
    <row r="7" spans="2:4" ht="25.5" customHeight="1">
      <c r="B7" s="10" t="s">
        <v>1984</v>
      </c>
      <c r="C7" s="8">
        <v>4</v>
      </c>
      <c r="D7" s="9" t="s">
        <v>1985</v>
      </c>
    </row>
    <row r="8" spans="2:4" ht="25.5" customHeight="1">
      <c r="B8" s="10" t="s">
        <v>1986</v>
      </c>
      <c r="C8" s="8">
        <v>5</v>
      </c>
      <c r="D8" s="9" t="s">
        <v>1987</v>
      </c>
    </row>
    <row r="9" spans="2:4" ht="25.5" customHeight="1">
      <c r="B9" s="10" t="s">
        <v>1988</v>
      </c>
      <c r="C9" s="8">
        <v>6</v>
      </c>
      <c r="D9" s="9" t="s">
        <v>1989</v>
      </c>
    </row>
    <row r="10" spans="2:4" ht="25.5" customHeight="1">
      <c r="B10" s="10" t="s">
        <v>1990</v>
      </c>
      <c r="C10" s="8">
        <v>7</v>
      </c>
      <c r="D10" s="9" t="s">
        <v>665</v>
      </c>
    </row>
    <row r="11" spans="2:4" ht="25.5" customHeight="1">
      <c r="B11" s="10" t="s">
        <v>1991</v>
      </c>
      <c r="C11" s="8" t="s">
        <v>1992</v>
      </c>
      <c r="D11" s="11" t="s">
        <v>1993</v>
      </c>
    </row>
    <row r="12" spans="2:4" ht="25.5" customHeight="1">
      <c r="B12" s="12" t="s">
        <v>1994</v>
      </c>
      <c r="C12" s="13" t="s">
        <v>680</v>
      </c>
      <c r="D12" s="11" t="s">
        <v>1993</v>
      </c>
    </row>
    <row r="13" spans="2:4" ht="25.5" customHeight="1">
      <c r="B13" s="10" t="s">
        <v>1995</v>
      </c>
      <c r="C13" s="8" t="s">
        <v>682</v>
      </c>
      <c r="D13" s="11" t="s">
        <v>1993</v>
      </c>
    </row>
    <row r="14" spans="2:4" ht="25.5" customHeight="1">
      <c r="B14" s="10" t="s">
        <v>1996</v>
      </c>
      <c r="C14" s="8" t="s">
        <v>683</v>
      </c>
      <c r="D14" s="11" t="s">
        <v>1993</v>
      </c>
    </row>
    <row r="15" spans="2:4" ht="25.5" customHeight="1">
      <c r="B15" s="10" t="s">
        <v>1997</v>
      </c>
      <c r="C15" s="8" t="s">
        <v>641</v>
      </c>
      <c r="D15" s="11" t="s">
        <v>1993</v>
      </c>
    </row>
    <row r="16" spans="2:4" ht="25.5" customHeight="1">
      <c r="B16" s="10" t="s">
        <v>1998</v>
      </c>
      <c r="C16" s="8" t="s">
        <v>772</v>
      </c>
      <c r="D16" s="11" t="s">
        <v>1993</v>
      </c>
    </row>
    <row r="17" spans="2:4" ht="25.5" customHeight="1">
      <c r="B17" s="10" t="s">
        <v>1999</v>
      </c>
      <c r="C17" s="8" t="s">
        <v>770</v>
      </c>
      <c r="D17" s="11" t="s">
        <v>1993</v>
      </c>
    </row>
    <row r="18" spans="2:4" ht="25.5" customHeight="1">
      <c r="B18" s="10" t="s">
        <v>2000</v>
      </c>
      <c r="C18" s="8" t="s">
        <v>771</v>
      </c>
      <c r="D18" s="11" t="s">
        <v>1993</v>
      </c>
    </row>
    <row r="19" spans="2:4" ht="25.5" customHeight="1">
      <c r="B19" s="10" t="s">
        <v>2001</v>
      </c>
      <c r="C19" s="8" t="s">
        <v>773</v>
      </c>
      <c r="D19" s="11" t="s">
        <v>1993</v>
      </c>
    </row>
    <row r="20" spans="2:4" ht="25.5" customHeight="1">
      <c r="B20" s="10" t="s">
        <v>2002</v>
      </c>
      <c r="C20" s="8" t="s">
        <v>671</v>
      </c>
      <c r="D20" s="11" t="s">
        <v>1993</v>
      </c>
    </row>
    <row r="21" spans="2:4" ht="25.5" customHeight="1">
      <c r="B21" s="10" t="s">
        <v>2003</v>
      </c>
      <c r="C21" s="8">
        <v>8</v>
      </c>
      <c r="D21" s="9" t="s">
        <v>2004</v>
      </c>
    </row>
    <row r="22" spans="2:4" ht="25.5" customHeight="1">
      <c r="B22" s="10" t="s">
        <v>2005</v>
      </c>
      <c r="C22" s="8" t="s">
        <v>1409</v>
      </c>
      <c r="D22" s="11" t="s">
        <v>1993</v>
      </c>
    </row>
    <row r="23" spans="2:4" ht="25.5" customHeight="1">
      <c r="B23" s="10" t="s">
        <v>1445</v>
      </c>
      <c r="C23" s="8" t="s">
        <v>1408</v>
      </c>
      <c r="D23" s="11" t="s">
        <v>1993</v>
      </c>
    </row>
    <row r="24" spans="2:4" ht="25.5" customHeight="1">
      <c r="B24" s="10" t="s">
        <v>1446</v>
      </c>
      <c r="C24" s="8" t="s">
        <v>1410</v>
      </c>
      <c r="D24" s="11" t="s">
        <v>1993</v>
      </c>
    </row>
    <row r="25" spans="2:4" ht="25.5" customHeight="1">
      <c r="B25" s="10" t="s">
        <v>1447</v>
      </c>
      <c r="C25" s="8" t="s">
        <v>1404</v>
      </c>
      <c r="D25" s="11" t="s">
        <v>1993</v>
      </c>
    </row>
    <row r="26" spans="2:4" ht="25.5" customHeight="1">
      <c r="B26" s="10" t="s">
        <v>1448</v>
      </c>
      <c r="C26" s="8" t="s">
        <v>1405</v>
      </c>
      <c r="D26" s="11" t="s">
        <v>1993</v>
      </c>
    </row>
    <row r="27" spans="2:4" ht="25.5" customHeight="1">
      <c r="B27" s="10" t="s">
        <v>1449</v>
      </c>
      <c r="C27" s="8" t="s">
        <v>407</v>
      </c>
      <c r="D27" s="11" t="s">
        <v>1993</v>
      </c>
    </row>
    <row r="28" spans="2:4" ht="25.5" customHeight="1">
      <c r="B28" s="10" t="s">
        <v>1450</v>
      </c>
      <c r="C28" s="8" t="s">
        <v>1406</v>
      </c>
      <c r="D28" s="11" t="s">
        <v>1993</v>
      </c>
    </row>
    <row r="29" spans="2:4" ht="25.5" customHeight="1">
      <c r="B29" s="10" t="s">
        <v>1451</v>
      </c>
      <c r="C29" s="8" t="s">
        <v>1407</v>
      </c>
      <c r="D29" s="11" t="s">
        <v>1993</v>
      </c>
    </row>
    <row r="30" spans="2:4" ht="25.5" customHeight="1">
      <c r="B30" s="10" t="s">
        <v>2006</v>
      </c>
      <c r="C30" s="8">
        <v>9</v>
      </c>
      <c r="D30" s="9" t="s">
        <v>2007</v>
      </c>
    </row>
    <row r="31" spans="2:4" ht="25.5" customHeight="1">
      <c r="B31" s="10" t="s">
        <v>2008</v>
      </c>
      <c r="C31" s="8" t="s">
        <v>478</v>
      </c>
      <c r="D31" s="9" t="s">
        <v>2009</v>
      </c>
    </row>
    <row r="32" spans="2:4" ht="25.5" customHeight="1">
      <c r="B32" s="10" t="s">
        <v>2010</v>
      </c>
      <c r="C32" s="8" t="s">
        <v>1315</v>
      </c>
      <c r="D32" s="11" t="s">
        <v>1993</v>
      </c>
    </row>
    <row r="33" spans="2:4" ht="25.5" customHeight="1">
      <c r="B33" s="10" t="s">
        <v>2011</v>
      </c>
      <c r="C33" s="8" t="s">
        <v>1947</v>
      </c>
      <c r="D33" s="11" t="s">
        <v>1993</v>
      </c>
    </row>
    <row r="34" spans="2:4" ht="25.5" customHeight="1">
      <c r="B34" s="14" t="s">
        <v>2012</v>
      </c>
      <c r="C34" s="8">
        <v>10</v>
      </c>
      <c r="D34" s="9" t="s">
        <v>2013</v>
      </c>
    </row>
    <row r="35" spans="2:4" ht="25.5" customHeight="1">
      <c r="B35" s="10" t="s">
        <v>2014</v>
      </c>
      <c r="C35" s="8">
        <v>11</v>
      </c>
      <c r="D35" s="9" t="s">
        <v>2015</v>
      </c>
    </row>
    <row r="36" spans="2:4" ht="25.5" customHeight="1">
      <c r="B36" s="10" t="s">
        <v>2016</v>
      </c>
      <c r="C36" s="8" t="s">
        <v>15</v>
      </c>
      <c r="D36" s="11" t="s">
        <v>1993</v>
      </c>
    </row>
    <row r="37" spans="2:4" ht="25.5" customHeight="1">
      <c r="B37" s="10" t="s">
        <v>2017</v>
      </c>
      <c r="C37" s="8" t="s">
        <v>25</v>
      </c>
      <c r="D37" s="11" t="s">
        <v>1993</v>
      </c>
    </row>
    <row r="38" spans="2:4" ht="25.5" customHeight="1">
      <c r="B38" s="10" t="s">
        <v>2018</v>
      </c>
      <c r="C38" s="8" t="s">
        <v>27</v>
      </c>
      <c r="D38" s="11" t="s">
        <v>1993</v>
      </c>
    </row>
    <row r="39" spans="2:4" ht="25.5" customHeight="1">
      <c r="B39" s="10" t="s">
        <v>2019</v>
      </c>
      <c r="C39" s="8" t="s">
        <v>28</v>
      </c>
      <c r="D39" s="11" t="s">
        <v>1993</v>
      </c>
    </row>
    <row r="40" spans="2:4" ht="25.5" customHeight="1">
      <c r="B40" s="10" t="s">
        <v>2020</v>
      </c>
      <c r="C40" s="8" t="s">
        <v>29</v>
      </c>
      <c r="D40" s="11" t="s">
        <v>1993</v>
      </c>
    </row>
    <row r="41" spans="2:4" ht="25.5" customHeight="1">
      <c r="B41" s="10" t="s">
        <v>168</v>
      </c>
      <c r="C41" s="8" t="s">
        <v>26</v>
      </c>
      <c r="D41" s="11" t="s">
        <v>1993</v>
      </c>
    </row>
    <row r="42" spans="2:4" ht="25.5" customHeight="1">
      <c r="B42" s="10" t="s">
        <v>169</v>
      </c>
      <c r="C42" s="8" t="s">
        <v>30</v>
      </c>
      <c r="D42" s="11" t="s">
        <v>1993</v>
      </c>
    </row>
    <row r="43" spans="2:4" ht="25.5" customHeight="1">
      <c r="B43" s="10" t="s">
        <v>2021</v>
      </c>
      <c r="C43" s="8" t="s">
        <v>31</v>
      </c>
      <c r="D43" s="11" t="s">
        <v>1993</v>
      </c>
    </row>
    <row r="44" spans="2:4" ht="25.5" customHeight="1">
      <c r="B44" s="10" t="s">
        <v>2022</v>
      </c>
      <c r="C44" s="8" t="s">
        <v>32</v>
      </c>
      <c r="D44" s="11" t="s">
        <v>1993</v>
      </c>
    </row>
    <row r="45" spans="2:4" ht="25.5" customHeight="1">
      <c r="B45" s="10" t="s">
        <v>2023</v>
      </c>
      <c r="C45" s="8" t="s">
        <v>33</v>
      </c>
      <c r="D45" s="11" t="s">
        <v>1993</v>
      </c>
    </row>
    <row r="46" spans="2:4" ht="25.5" customHeight="1">
      <c r="B46" s="10" t="s">
        <v>2024</v>
      </c>
      <c r="C46" s="8" t="s">
        <v>34</v>
      </c>
      <c r="D46" s="11" t="s">
        <v>1993</v>
      </c>
    </row>
    <row r="47" spans="2:4" ht="25.5" customHeight="1">
      <c r="B47" s="10" t="s">
        <v>2025</v>
      </c>
      <c r="C47" s="8" t="s">
        <v>35</v>
      </c>
      <c r="D47" s="11" t="s">
        <v>1993</v>
      </c>
    </row>
    <row r="48" spans="2:4" ht="25.5" customHeight="1">
      <c r="B48" s="10" t="s">
        <v>2026</v>
      </c>
      <c r="C48" s="8" t="s">
        <v>36</v>
      </c>
      <c r="D48" s="11" t="s">
        <v>1993</v>
      </c>
    </row>
    <row r="49" spans="2:4" ht="25.5" customHeight="1">
      <c r="B49" s="10" t="s">
        <v>2027</v>
      </c>
      <c r="C49" s="8" t="s">
        <v>37</v>
      </c>
      <c r="D49" s="11" t="s">
        <v>1993</v>
      </c>
    </row>
    <row r="50" spans="2:4" ht="25.5" customHeight="1">
      <c r="B50" s="10" t="s">
        <v>2028</v>
      </c>
      <c r="C50" s="8" t="s">
        <v>38</v>
      </c>
      <c r="D50" s="11" t="s">
        <v>1993</v>
      </c>
    </row>
    <row r="51" spans="2:4" ht="25.5" customHeight="1">
      <c r="B51" s="10" t="s">
        <v>2029</v>
      </c>
      <c r="C51" s="8" t="s">
        <v>39</v>
      </c>
      <c r="D51" s="11" t="s">
        <v>1993</v>
      </c>
    </row>
    <row r="52" spans="2:4" ht="25.5" customHeight="1">
      <c r="B52" s="10" t="s">
        <v>2030</v>
      </c>
      <c r="C52" s="8" t="s">
        <v>40</v>
      </c>
      <c r="D52" s="11" t="s">
        <v>1993</v>
      </c>
    </row>
    <row r="53" spans="2:4" ht="25.5" customHeight="1">
      <c r="B53" s="10" t="s">
        <v>2031</v>
      </c>
      <c r="C53" s="8" t="s">
        <v>41</v>
      </c>
      <c r="D53" s="11" t="s">
        <v>1993</v>
      </c>
    </row>
    <row r="54" spans="2:4" ht="25.5" customHeight="1">
      <c r="B54" s="10" t="s">
        <v>170</v>
      </c>
      <c r="C54" s="8" t="s">
        <v>128</v>
      </c>
      <c r="D54" s="11" t="s">
        <v>1993</v>
      </c>
    </row>
    <row r="55" spans="2:4" ht="25.5" customHeight="1">
      <c r="B55" s="10" t="s">
        <v>2032</v>
      </c>
      <c r="C55" s="8" t="s">
        <v>129</v>
      </c>
      <c r="D55" s="11" t="s">
        <v>1993</v>
      </c>
    </row>
    <row r="56" spans="2:4" ht="25.5" customHeight="1">
      <c r="B56" s="10" t="s">
        <v>2033</v>
      </c>
      <c r="C56" s="8" t="s">
        <v>69</v>
      </c>
      <c r="D56" s="11" t="s">
        <v>1993</v>
      </c>
    </row>
    <row r="57" spans="2:4" ht="25.5" customHeight="1">
      <c r="B57" s="10" t="s">
        <v>171</v>
      </c>
      <c r="C57" s="8" t="s">
        <v>68</v>
      </c>
      <c r="D57" s="11" t="s">
        <v>1993</v>
      </c>
    </row>
    <row r="58" spans="2:4" ht="25.5" customHeight="1">
      <c r="B58" s="10" t="s">
        <v>172</v>
      </c>
      <c r="C58" s="8" t="s">
        <v>43</v>
      </c>
      <c r="D58" s="11" t="s">
        <v>1993</v>
      </c>
    </row>
    <row r="59" spans="2:4" ht="25.5" customHeight="1">
      <c r="B59" s="10" t="s">
        <v>2034</v>
      </c>
      <c r="C59" s="8" t="s">
        <v>1563</v>
      </c>
      <c r="D59" s="11" t="s">
        <v>1993</v>
      </c>
    </row>
    <row r="60" spans="2:4" ht="25.5" customHeight="1">
      <c r="B60" s="10" t="s">
        <v>1585</v>
      </c>
      <c r="C60" s="8" t="s">
        <v>1572</v>
      </c>
      <c r="D60" s="11" t="s">
        <v>1993</v>
      </c>
    </row>
    <row r="61" spans="2:4" ht="25.5" customHeight="1">
      <c r="B61" s="10" t="s">
        <v>2035</v>
      </c>
      <c r="C61" s="8" t="s">
        <v>1576</v>
      </c>
      <c r="D61" s="11" t="s">
        <v>1993</v>
      </c>
    </row>
    <row r="62" spans="2:4" ht="25.5" customHeight="1">
      <c r="B62" s="10" t="s">
        <v>2036</v>
      </c>
      <c r="C62" s="8" t="s">
        <v>44</v>
      </c>
      <c r="D62" s="11" t="s">
        <v>1993</v>
      </c>
    </row>
    <row r="63" spans="2:4" ht="25.5" customHeight="1">
      <c r="B63" s="10" t="s">
        <v>2037</v>
      </c>
      <c r="C63" s="8">
        <v>12</v>
      </c>
      <c r="D63" s="9" t="s">
        <v>2038</v>
      </c>
    </row>
    <row r="64" spans="2:4" ht="25.5" customHeight="1">
      <c r="B64" s="10" t="s">
        <v>2039</v>
      </c>
      <c r="C64" s="8">
        <v>13</v>
      </c>
      <c r="D64" s="9" t="s">
        <v>2040</v>
      </c>
    </row>
    <row r="65" spans="2:4" ht="25.5" customHeight="1">
      <c r="B65" s="10" t="s">
        <v>2041</v>
      </c>
      <c r="C65" s="8">
        <v>14</v>
      </c>
      <c r="D65" s="9" t="s">
        <v>2042</v>
      </c>
    </row>
    <row r="66" spans="2:4" ht="25.5" customHeight="1">
      <c r="B66" s="10" t="s">
        <v>2043</v>
      </c>
      <c r="C66" s="8">
        <v>15</v>
      </c>
      <c r="D66" s="9" t="s">
        <v>2044</v>
      </c>
    </row>
    <row r="67" spans="2:4" ht="25.5" customHeight="1">
      <c r="B67" s="10" t="s">
        <v>2045</v>
      </c>
      <c r="C67" s="8" t="s">
        <v>366</v>
      </c>
      <c r="D67" s="11" t="s">
        <v>1993</v>
      </c>
    </row>
    <row r="68" spans="2:4" ht="25.5" customHeight="1">
      <c r="B68" s="10" t="s">
        <v>2046</v>
      </c>
      <c r="C68" s="8">
        <v>16</v>
      </c>
      <c r="D68" s="11" t="s">
        <v>2047</v>
      </c>
    </row>
    <row r="69" spans="2:4" ht="25.5" customHeight="1">
      <c r="B69" s="10" t="s">
        <v>2048</v>
      </c>
      <c r="C69" s="8" t="s">
        <v>784</v>
      </c>
      <c r="D69" s="11" t="s">
        <v>1993</v>
      </c>
    </row>
    <row r="70" spans="2:4" ht="25.5" customHeight="1">
      <c r="B70" s="10" t="s">
        <v>2049</v>
      </c>
      <c r="C70" s="8">
        <v>17</v>
      </c>
      <c r="D70" s="11" t="s">
        <v>2050</v>
      </c>
    </row>
    <row r="71" spans="2:4" ht="25.5" customHeight="1">
      <c r="B71" s="10" t="s">
        <v>2051</v>
      </c>
      <c r="C71" s="8">
        <v>18</v>
      </c>
      <c r="D71" s="9" t="s">
        <v>2052</v>
      </c>
    </row>
    <row r="72" spans="2:4" ht="25.5" customHeight="1">
      <c r="B72" s="10" t="s">
        <v>2053</v>
      </c>
      <c r="C72" s="8" t="s">
        <v>536</v>
      </c>
      <c r="D72" s="11" t="s">
        <v>1993</v>
      </c>
    </row>
    <row r="73" spans="2:4" ht="25.5" customHeight="1">
      <c r="B73" s="10" t="s">
        <v>386</v>
      </c>
      <c r="C73" s="8">
        <v>19</v>
      </c>
      <c r="D73" s="11" t="s">
        <v>1993</v>
      </c>
    </row>
    <row r="74" spans="2:4" ht="25.5" customHeight="1">
      <c r="B74" s="10" t="s">
        <v>633</v>
      </c>
      <c r="C74" s="8">
        <v>20</v>
      </c>
      <c r="D74" s="11" t="s">
        <v>1993</v>
      </c>
    </row>
    <row r="75" spans="2:4" ht="25.5" customHeight="1">
      <c r="B75" s="10" t="s">
        <v>289</v>
      </c>
      <c r="C75" s="8">
        <v>21</v>
      </c>
      <c r="D75" s="11" t="s">
        <v>1993</v>
      </c>
    </row>
    <row r="76" spans="2:4" ht="25.5" customHeight="1">
      <c r="B76" s="10" t="s">
        <v>2054</v>
      </c>
      <c r="C76" s="8">
        <v>22</v>
      </c>
      <c r="D76" s="11" t="s">
        <v>1993</v>
      </c>
    </row>
    <row r="77" spans="2:4" ht="25.5" customHeight="1">
      <c r="B77" s="10" t="s">
        <v>498</v>
      </c>
      <c r="C77" s="8">
        <v>23</v>
      </c>
      <c r="D77" s="11" t="s">
        <v>1993</v>
      </c>
    </row>
    <row r="78" spans="2:4" ht="25.5" customHeight="1">
      <c r="B78" s="10" t="s">
        <v>614</v>
      </c>
      <c r="C78" s="8">
        <v>24</v>
      </c>
      <c r="D78" s="11" t="s">
        <v>1993</v>
      </c>
    </row>
    <row r="79" spans="2:4" ht="25.5" customHeight="1">
      <c r="B79" s="10" t="s">
        <v>2055</v>
      </c>
      <c r="C79" s="8">
        <v>25</v>
      </c>
      <c r="D79" s="11" t="s">
        <v>1993</v>
      </c>
    </row>
    <row r="80" spans="2:4" ht="25.5" customHeight="1">
      <c r="B80" s="10" t="s">
        <v>411</v>
      </c>
      <c r="C80" s="8">
        <v>26</v>
      </c>
      <c r="D80" s="11" t="s">
        <v>1993</v>
      </c>
    </row>
    <row r="81" spans="2:4" ht="25.5" customHeight="1">
      <c r="B81" s="10" t="s">
        <v>608</v>
      </c>
      <c r="C81" s="8">
        <v>27</v>
      </c>
      <c r="D81" s="11" t="s">
        <v>1993</v>
      </c>
    </row>
    <row r="82" spans="2:4" ht="25.5" customHeight="1">
      <c r="B82" s="10" t="s">
        <v>621</v>
      </c>
      <c r="C82" s="8">
        <v>28</v>
      </c>
      <c r="D82" s="11" t="s">
        <v>1993</v>
      </c>
    </row>
    <row r="83" spans="2:4" ht="25.5" customHeight="1">
      <c r="B83" s="10" t="s">
        <v>1432</v>
      </c>
      <c r="C83" s="8">
        <v>29</v>
      </c>
      <c r="D83" s="11" t="s">
        <v>1993</v>
      </c>
    </row>
    <row r="84" spans="2:4" ht="25.5" customHeight="1">
      <c r="B84" s="10" t="s">
        <v>2056</v>
      </c>
      <c r="C84" s="8">
        <v>30</v>
      </c>
      <c r="D84" s="11" t="s">
        <v>1993</v>
      </c>
    </row>
    <row r="85" spans="2:4" ht="25.5" customHeight="1">
      <c r="B85" s="10" t="s">
        <v>2057</v>
      </c>
      <c r="C85" s="8">
        <v>31</v>
      </c>
      <c r="D85" s="11" t="s">
        <v>1993</v>
      </c>
    </row>
    <row r="86" spans="2:4" ht="25.5" customHeight="1">
      <c r="B86" s="10" t="s">
        <v>2058</v>
      </c>
      <c r="C86" s="8">
        <v>32</v>
      </c>
      <c r="D86" s="9" t="s">
        <v>2059</v>
      </c>
    </row>
    <row r="87" spans="2:4" ht="25.5" customHeight="1">
      <c r="B87" s="10" t="s">
        <v>2060</v>
      </c>
      <c r="C87" s="8">
        <v>33</v>
      </c>
      <c r="D87" s="9" t="s">
        <v>2061</v>
      </c>
    </row>
    <row r="88" spans="2:4" ht="25.5" customHeight="1">
      <c r="B88" s="10" t="s">
        <v>2062</v>
      </c>
      <c r="C88" s="8">
        <v>34</v>
      </c>
      <c r="D88" s="9" t="s">
        <v>2063</v>
      </c>
    </row>
    <row r="89" spans="2:4" ht="25.5" customHeight="1">
      <c r="B89" s="10" t="s">
        <v>2064</v>
      </c>
      <c r="C89" s="8">
        <v>35</v>
      </c>
      <c r="D89" s="11" t="s">
        <v>2065</v>
      </c>
    </row>
    <row r="90" spans="2:4" ht="25.5" customHeight="1">
      <c r="B90" s="10" t="s">
        <v>2066</v>
      </c>
      <c r="C90" s="8">
        <v>36</v>
      </c>
      <c r="D90" s="9" t="s">
        <v>2067</v>
      </c>
    </row>
    <row r="91" spans="2:4" ht="40.5" customHeight="1">
      <c r="B91" s="10" t="s">
        <v>2068</v>
      </c>
      <c r="C91" s="15">
        <v>37</v>
      </c>
      <c r="D91" s="11" t="s">
        <v>2069</v>
      </c>
    </row>
    <row r="92" spans="2:4" ht="40.5" customHeight="1">
      <c r="B92" s="941" t="s">
        <v>2070</v>
      </c>
      <c r="C92" s="942">
        <v>38</v>
      </c>
      <c r="D92" s="855" t="s">
        <v>2071</v>
      </c>
    </row>
    <row r="93" spans="2:4" ht="40.5" customHeight="1">
      <c r="B93" s="944" t="s">
        <v>2072</v>
      </c>
      <c r="C93" s="15">
        <v>39</v>
      </c>
      <c r="D93" s="945"/>
    </row>
    <row r="94" spans="2:4" ht="40.5" customHeight="1">
      <c r="D94" s="943" t="s">
        <v>2073</v>
      </c>
    </row>
    <row r="95" spans="2:4" ht="40.5" customHeight="1"/>
    <row r="96" spans="2:4" ht="40.5" customHeight="1"/>
    <row r="97" ht="40.5" customHeight="1"/>
    <row r="98" ht="40.5" customHeight="1"/>
    <row r="99" ht="40.5" customHeight="1"/>
    <row r="100" ht="40.5" customHeight="1"/>
    <row r="101" ht="40.5" customHeight="1"/>
    <row r="102" ht="40.5" customHeight="1"/>
    <row r="103" ht="40.5" customHeight="1"/>
    <row r="104" ht="40.5" customHeight="1"/>
    <row r="105" ht="40.5" customHeight="1"/>
    <row r="106" ht="40.5" customHeight="1"/>
    <row r="107" ht="40.5" customHeight="1"/>
    <row r="108" ht="40.5" customHeight="1"/>
    <row r="109" ht="40.5" customHeight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customXml/itemProps2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Det</vt:lpstr>
      <vt:lpstr>Skaičiuoklė</vt:lpstr>
      <vt:lpstr>Vykd </vt:lpstr>
      <vt:lpstr>Det!Print_Area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dcterms:created xsi:type="dcterms:W3CDTF">2025-10-15T08:24:45Z</dcterms:created>
  <dcterms:modified xsi:type="dcterms:W3CDTF">2026-03-30T12:06:58Z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