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4\Vdiskas\Biudzeto ir Ekonomikos skyrius\Bendras biudzeto ir ekonomikos SK\Biudžeto vykdymas\2026 metai\I pusmetis\Internetiniam puslapiui\"/>
    </mc:Choice>
  </mc:AlternateContent>
  <xr:revisionPtr revIDLastSave="0" documentId="13_ncr:1_{C2BB25B1-AFC5-42C2-973F-E343BA29E265}" xr6:coauthVersionLast="47" xr6:coauthVersionMax="47" xr10:uidLastSave="{00000000-0000-0000-0000-000000000000}"/>
  <bookViews>
    <workbookView xWindow="-28920" yWindow="-120" windowWidth="29040" windowHeight="15720" tabRatio="832" firstSheet="3" activeTab="5" xr2:uid="{00000000-000D-0000-FFFF-FFFF00000000}"/>
  </bookViews>
  <sheets>
    <sheet name="biudžeto pajamų vykdymas" sheetId="2" r:id="rId1"/>
    <sheet name="pajamų už teikiamas pasl vykdym" sheetId="10" r:id="rId2"/>
    <sheet name="pajamo už patalpų nuomą" sheetId="40" r:id="rId3"/>
    <sheet name="vykdymas pagal asig valdytojus" sheetId="36" r:id="rId4"/>
    <sheet name="vykdymas pagal programas" sheetId="37" r:id="rId5"/>
    <sheet name="vykdymas pagal valstybės funk" sheetId="13" r:id="rId6"/>
    <sheet name="asignavimai pgl valstybės funk " sheetId="38" r:id="rId7"/>
    <sheet name="vykdymas pagal ekonom paskirst" sheetId="14" r:id="rId8"/>
    <sheet name="asignavimai pagal ekonom paskir" sheetId="39" r:id="rId9"/>
    <sheet name="Lapas1" sheetId="4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8" l="1"/>
  <c r="F18" i="38"/>
  <c r="F19" i="38"/>
  <c r="F20" i="38"/>
  <c r="F17" i="38"/>
  <c r="G21" i="38"/>
  <c r="F40" i="39"/>
  <c r="F39" i="39"/>
  <c r="G40" i="39"/>
  <c r="G39" i="39"/>
  <c r="E21" i="38"/>
  <c r="D18" i="13"/>
  <c r="D15" i="13"/>
  <c r="D10" i="13"/>
  <c r="D8" i="13"/>
  <c r="E18" i="13"/>
  <c r="E21" i="13" s="1"/>
  <c r="I19" i="13"/>
  <c r="H18" i="13"/>
  <c r="H20" i="13"/>
  <c r="H19" i="13"/>
  <c r="H17" i="13"/>
  <c r="H16" i="13"/>
  <c r="H15" i="13"/>
  <c r="H14" i="13"/>
  <c r="H13" i="13"/>
  <c r="H12" i="13"/>
  <c r="H11" i="13"/>
  <c r="H10" i="13"/>
  <c r="H9" i="13"/>
  <c r="H8" i="13"/>
  <c r="G21" i="13"/>
  <c r="H21" i="13" s="1"/>
  <c r="I20" i="13"/>
  <c r="J20" i="13"/>
  <c r="G18" i="13"/>
  <c r="G16" i="38"/>
  <c r="C21" i="38"/>
  <c r="G8" i="38"/>
  <c r="E18" i="38"/>
  <c r="G19" i="38"/>
  <c r="G20" i="38"/>
  <c r="G48" i="10"/>
  <c r="G32" i="10"/>
  <c r="D25" i="2"/>
  <c r="G21" i="10"/>
  <c r="G37" i="10"/>
  <c r="G46" i="10"/>
  <c r="G45" i="10"/>
  <c r="G44" i="10"/>
  <c r="G43" i="10"/>
  <c r="G42" i="10"/>
  <c r="G41" i="10"/>
  <c r="G40" i="10"/>
  <c r="G39" i="10"/>
  <c r="G38" i="10"/>
  <c r="G36" i="10"/>
  <c r="G35" i="10"/>
  <c r="G34" i="10"/>
  <c r="G33" i="10"/>
  <c r="G31" i="10"/>
  <c r="G30" i="10"/>
  <c r="G29" i="10"/>
  <c r="G28" i="10"/>
  <c r="G27" i="10"/>
  <c r="G26" i="10"/>
  <c r="G25" i="10"/>
  <c r="G24" i="10"/>
  <c r="G22" i="10"/>
  <c r="G23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P298" i="36" l="1"/>
  <c r="P293" i="36"/>
  <c r="K293" i="36"/>
  <c r="J293" i="36"/>
  <c r="I293" i="36"/>
  <c r="H293" i="36"/>
  <c r="Q293" i="36" s="1"/>
  <c r="Q291" i="36"/>
  <c r="P291" i="36"/>
  <c r="K291" i="36"/>
  <c r="J291" i="36"/>
  <c r="I291" i="36"/>
  <c r="H291" i="36"/>
  <c r="P288" i="36"/>
  <c r="K288" i="36"/>
  <c r="J288" i="36"/>
  <c r="I288" i="36"/>
  <c r="H288" i="36"/>
  <c r="Q288" i="36" s="1"/>
  <c r="Q286" i="36"/>
  <c r="P286" i="36"/>
  <c r="K286" i="36"/>
  <c r="J286" i="36"/>
  <c r="I286" i="36"/>
  <c r="H286" i="36"/>
  <c r="P281" i="36"/>
  <c r="K281" i="36"/>
  <c r="J281" i="36"/>
  <c r="I281" i="36"/>
  <c r="H281" i="36"/>
  <c r="Q281" i="36" s="1"/>
  <c r="Q277" i="36"/>
  <c r="P277" i="36"/>
  <c r="K277" i="36"/>
  <c r="J277" i="36"/>
  <c r="I277" i="36"/>
  <c r="H277" i="36"/>
  <c r="P272" i="36"/>
  <c r="K272" i="36"/>
  <c r="J272" i="36"/>
  <c r="I272" i="36"/>
  <c r="H272" i="36"/>
  <c r="Q272" i="36" s="1"/>
  <c r="Q270" i="36"/>
  <c r="P270" i="36"/>
  <c r="K270" i="36"/>
  <c r="J270" i="36"/>
  <c r="I270" i="36"/>
  <c r="H270" i="36"/>
  <c r="P266" i="36"/>
  <c r="K266" i="36"/>
  <c r="J266" i="36"/>
  <c r="I266" i="36"/>
  <c r="H266" i="36"/>
  <c r="Q266" i="36" s="1"/>
  <c r="Q262" i="36"/>
  <c r="P262" i="36"/>
  <c r="K262" i="36"/>
  <c r="J262" i="36"/>
  <c r="I262" i="36"/>
  <c r="H262" i="36"/>
  <c r="P258" i="36"/>
  <c r="K258" i="36"/>
  <c r="J258" i="36"/>
  <c r="I258" i="36"/>
  <c r="H258" i="36"/>
  <c r="Q258" i="36" s="1"/>
  <c r="Q255" i="36"/>
  <c r="P255" i="36"/>
  <c r="K255" i="36"/>
  <c r="J255" i="36"/>
  <c r="I255" i="36"/>
  <c r="H255" i="36"/>
  <c r="P249" i="36"/>
  <c r="K249" i="36"/>
  <c r="J249" i="36"/>
  <c r="I249" i="36"/>
  <c r="H249" i="36"/>
  <c r="Q249" i="36" s="1"/>
  <c r="Q244" i="36"/>
  <c r="P244" i="36"/>
  <c r="K244" i="36"/>
  <c r="J244" i="36"/>
  <c r="I244" i="36"/>
  <c r="H244" i="36"/>
  <c r="P235" i="36"/>
  <c r="K235" i="36"/>
  <c r="J235" i="36"/>
  <c r="I235" i="36"/>
  <c r="H235" i="36"/>
  <c r="Q235" i="36" s="1"/>
  <c r="Q229" i="36"/>
  <c r="P229" i="36"/>
  <c r="K229" i="36"/>
  <c r="J229" i="36"/>
  <c r="I229" i="36"/>
  <c r="H229" i="36"/>
  <c r="P225" i="36"/>
  <c r="K225" i="36"/>
  <c r="J225" i="36"/>
  <c r="I225" i="36"/>
  <c r="H225" i="36"/>
  <c r="Q225" i="36" s="1"/>
  <c r="Q221" i="36"/>
  <c r="P221" i="36"/>
  <c r="K221" i="36"/>
  <c r="J221" i="36"/>
  <c r="I221" i="36"/>
  <c r="H221" i="36"/>
  <c r="P217" i="36"/>
  <c r="K217" i="36"/>
  <c r="J217" i="36"/>
  <c r="I217" i="36"/>
  <c r="H217" i="36"/>
  <c r="Q217" i="36" s="1"/>
  <c r="Q211" i="36"/>
  <c r="P211" i="36"/>
  <c r="K211" i="36"/>
  <c r="J211" i="36"/>
  <c r="I211" i="36"/>
  <c r="H211" i="36"/>
  <c r="P204" i="36"/>
  <c r="K204" i="36"/>
  <c r="J204" i="36"/>
  <c r="I204" i="36"/>
  <c r="H204" i="36"/>
  <c r="Q204" i="36" s="1"/>
  <c r="Q199" i="36"/>
  <c r="P199" i="36"/>
  <c r="K199" i="36"/>
  <c r="J199" i="36"/>
  <c r="I199" i="36"/>
  <c r="H199" i="36"/>
  <c r="P193" i="36"/>
  <c r="K193" i="36"/>
  <c r="J193" i="36"/>
  <c r="I193" i="36"/>
  <c r="H193" i="36"/>
  <c r="Q193" i="36" s="1"/>
  <c r="Q188" i="36"/>
  <c r="P188" i="36"/>
  <c r="K188" i="36"/>
  <c r="J188" i="36"/>
  <c r="I188" i="36"/>
  <c r="H188" i="36"/>
  <c r="P184" i="36"/>
  <c r="K184" i="36"/>
  <c r="J184" i="36"/>
  <c r="I184" i="36"/>
  <c r="H184" i="36"/>
  <c r="Q184" i="36" s="1"/>
  <c r="Q182" i="36"/>
  <c r="P182" i="36"/>
  <c r="K182" i="36"/>
  <c r="J182" i="36"/>
  <c r="I182" i="36"/>
  <c r="H182" i="36"/>
  <c r="P180" i="36"/>
  <c r="K180" i="36"/>
  <c r="J180" i="36"/>
  <c r="I180" i="36"/>
  <c r="H180" i="36"/>
  <c r="Q180" i="36" s="1"/>
  <c r="Q176" i="36"/>
  <c r="P176" i="36"/>
  <c r="K176" i="36"/>
  <c r="J176" i="36"/>
  <c r="I176" i="36"/>
  <c r="H176" i="36"/>
  <c r="P172" i="36"/>
  <c r="K172" i="36"/>
  <c r="J172" i="36"/>
  <c r="I172" i="36"/>
  <c r="H172" i="36"/>
  <c r="Q172" i="36" s="1"/>
  <c r="Q168" i="36"/>
  <c r="P168" i="36"/>
  <c r="K168" i="36"/>
  <c r="J168" i="36"/>
  <c r="I168" i="36"/>
  <c r="H168" i="36"/>
  <c r="P162" i="36"/>
  <c r="K162" i="36"/>
  <c r="J162" i="36"/>
  <c r="I162" i="36"/>
  <c r="H162" i="36"/>
  <c r="Q162" i="36" s="1"/>
  <c r="Q156" i="36"/>
  <c r="P156" i="36"/>
  <c r="K156" i="36"/>
  <c r="J156" i="36"/>
  <c r="I156" i="36"/>
  <c r="H156" i="36"/>
  <c r="P150" i="36"/>
  <c r="K150" i="36"/>
  <c r="J150" i="36"/>
  <c r="I150" i="36"/>
  <c r="H150" i="36"/>
  <c r="Q150" i="36" s="1"/>
  <c r="Q144" i="36"/>
  <c r="P144" i="36"/>
  <c r="K144" i="36"/>
  <c r="J144" i="36"/>
  <c r="I144" i="36"/>
  <c r="H144" i="36"/>
  <c r="P139" i="36"/>
  <c r="K139" i="36"/>
  <c r="J139" i="36"/>
  <c r="I139" i="36"/>
  <c r="H139" i="36"/>
  <c r="Q139" i="36" s="1"/>
  <c r="Q133" i="36"/>
  <c r="P133" i="36"/>
  <c r="K133" i="36"/>
  <c r="J133" i="36"/>
  <c r="I133" i="36"/>
  <c r="H133" i="36"/>
  <c r="P128" i="36"/>
  <c r="K128" i="36"/>
  <c r="J128" i="36"/>
  <c r="I128" i="36"/>
  <c r="H128" i="36"/>
  <c r="Q128" i="36" s="1"/>
  <c r="Q122" i="36"/>
  <c r="P122" i="36"/>
  <c r="K122" i="36"/>
  <c r="J122" i="36"/>
  <c r="I122" i="36"/>
  <c r="H122" i="36"/>
  <c r="P116" i="36"/>
  <c r="K116" i="36"/>
  <c r="J116" i="36"/>
  <c r="I116" i="36"/>
  <c r="H116" i="36"/>
  <c r="Q116" i="36" s="1"/>
  <c r="Q110" i="36"/>
  <c r="P110" i="36"/>
  <c r="K110" i="36"/>
  <c r="J110" i="36"/>
  <c r="I110" i="36"/>
  <c r="H110" i="36"/>
  <c r="P104" i="36"/>
  <c r="K104" i="36"/>
  <c r="J104" i="36"/>
  <c r="I104" i="36"/>
  <c r="H104" i="36"/>
  <c r="Q104" i="36" s="1"/>
  <c r="Q99" i="36"/>
  <c r="P99" i="36"/>
  <c r="K99" i="36"/>
  <c r="J99" i="36"/>
  <c r="I99" i="36"/>
  <c r="H99" i="36"/>
  <c r="P93" i="36"/>
  <c r="K93" i="36"/>
  <c r="J93" i="36"/>
  <c r="I93" i="36"/>
  <c r="H93" i="36"/>
  <c r="Q93" i="36" s="1"/>
  <c r="Q87" i="36"/>
  <c r="P87" i="36"/>
  <c r="K87" i="36"/>
  <c r="J87" i="36"/>
  <c r="I87" i="36"/>
  <c r="H87" i="36"/>
  <c r="P81" i="36"/>
  <c r="K81" i="36"/>
  <c r="J81" i="36"/>
  <c r="I81" i="36"/>
  <c r="H81" i="36"/>
  <c r="Q81" i="36" s="1"/>
  <c r="Q75" i="36"/>
  <c r="P75" i="36"/>
  <c r="K75" i="36"/>
  <c r="K298" i="36" s="1"/>
  <c r="J75" i="36"/>
  <c r="J298" i="36" s="1"/>
  <c r="I75" i="36"/>
  <c r="I298" i="36" s="1"/>
  <c r="H75" i="36"/>
  <c r="P11" i="36"/>
  <c r="K11" i="36"/>
  <c r="J11" i="36"/>
  <c r="I11" i="36"/>
  <c r="H11" i="36"/>
  <c r="H298" i="36" s="1"/>
  <c r="Q298" i="36" s="1"/>
  <c r="K19" i="37"/>
  <c r="P19" i="37" s="1"/>
  <c r="N19" i="37"/>
  <c r="M19" i="37"/>
  <c r="L19" i="37"/>
  <c r="J19" i="37"/>
  <c r="I19" i="37"/>
  <c r="H19" i="37"/>
  <c r="G19" i="37"/>
  <c r="P18" i="37"/>
  <c r="O18" i="37"/>
  <c r="P17" i="37"/>
  <c r="O17" i="37"/>
  <c r="P16" i="37"/>
  <c r="O16" i="37"/>
  <c r="P15" i="37"/>
  <c r="O15" i="37"/>
  <c r="P14" i="37"/>
  <c r="O14" i="37"/>
  <c r="P13" i="37"/>
  <c r="O13" i="37"/>
  <c r="P12" i="37"/>
  <c r="O12" i="37"/>
  <c r="P11" i="37"/>
  <c r="O11" i="37"/>
  <c r="P10" i="37"/>
  <c r="O10" i="37"/>
  <c r="Q11" i="36" l="1"/>
  <c r="O19" i="37"/>
  <c r="E33" i="39" l="1"/>
  <c r="I38" i="14"/>
  <c r="D33" i="39" l="1"/>
  <c r="C9" i="39" l="1"/>
  <c r="C33" i="39"/>
  <c r="F34" i="39"/>
  <c r="G34" i="39"/>
  <c r="G33" i="14"/>
  <c r="K45" i="2"/>
  <c r="J45" i="2"/>
  <c r="I45" i="2"/>
  <c r="H45" i="2"/>
  <c r="L44" i="2"/>
  <c r="K44" i="2"/>
  <c r="J44" i="2"/>
  <c r="I44" i="2"/>
  <c r="H44" i="2"/>
  <c r="L43" i="2"/>
  <c r="K43" i="2"/>
  <c r="J43" i="2"/>
  <c r="I43" i="2"/>
  <c r="H43" i="2"/>
  <c r="L42" i="2"/>
  <c r="K42" i="2"/>
  <c r="J42" i="2"/>
  <c r="I42" i="2"/>
  <c r="H42" i="2"/>
  <c r="L41" i="2"/>
  <c r="K41" i="2"/>
  <c r="J41" i="2"/>
  <c r="I41" i="2"/>
  <c r="H41" i="2"/>
  <c r="L40" i="2"/>
  <c r="K40" i="2"/>
  <c r="J40" i="2"/>
  <c r="I40" i="2"/>
  <c r="H40" i="2"/>
  <c r="G39" i="2"/>
  <c r="G38" i="2" s="1"/>
  <c r="F39" i="2"/>
  <c r="L39" i="2" s="1"/>
  <c r="E39" i="2"/>
  <c r="E38" i="2" s="1"/>
  <c r="D39" i="2"/>
  <c r="D38" i="2" s="1"/>
  <c r="C39" i="2"/>
  <c r="C38" i="2" s="1"/>
  <c r="L36" i="2"/>
  <c r="K36" i="2"/>
  <c r="J36" i="2"/>
  <c r="I36" i="2"/>
  <c r="H36" i="2"/>
  <c r="L35" i="2"/>
  <c r="K35" i="2"/>
  <c r="J35" i="2"/>
  <c r="I35" i="2"/>
  <c r="H35" i="2"/>
  <c r="L34" i="2"/>
  <c r="K34" i="2"/>
  <c r="J34" i="2"/>
  <c r="I34" i="2"/>
  <c r="H34" i="2"/>
  <c r="L33" i="2"/>
  <c r="K33" i="2"/>
  <c r="J33" i="2"/>
  <c r="I33" i="2"/>
  <c r="H33" i="2"/>
  <c r="L32" i="2"/>
  <c r="K32" i="2"/>
  <c r="J32" i="2"/>
  <c r="I32" i="2"/>
  <c r="H32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H28" i="2"/>
  <c r="L27" i="2"/>
  <c r="K27" i="2"/>
  <c r="J27" i="2"/>
  <c r="I27" i="2"/>
  <c r="H27" i="2"/>
  <c r="L26" i="2"/>
  <c r="K26" i="2"/>
  <c r="J26" i="2"/>
  <c r="I26" i="2"/>
  <c r="H26" i="2"/>
  <c r="G25" i="2"/>
  <c r="F25" i="2"/>
  <c r="K25" i="2" s="1"/>
  <c r="E25" i="2"/>
  <c r="E24" i="2" s="1"/>
  <c r="D24" i="2"/>
  <c r="C25" i="2"/>
  <c r="C24" i="2" s="1"/>
  <c r="L23" i="2"/>
  <c r="K23" i="2"/>
  <c r="J23" i="2"/>
  <c r="I23" i="2"/>
  <c r="H23" i="2"/>
  <c r="L22" i="2"/>
  <c r="K22" i="2"/>
  <c r="J22" i="2"/>
  <c r="I22" i="2"/>
  <c r="H22" i="2"/>
  <c r="L21" i="2"/>
  <c r="K21" i="2"/>
  <c r="J21" i="2"/>
  <c r="I21" i="2"/>
  <c r="H21" i="2"/>
  <c r="L20" i="2"/>
  <c r="K20" i="2"/>
  <c r="J20" i="2"/>
  <c r="I20" i="2"/>
  <c r="H20" i="2"/>
  <c r="G19" i="2"/>
  <c r="F19" i="2"/>
  <c r="E19" i="2"/>
  <c r="E15" i="2" s="1"/>
  <c r="D19" i="2"/>
  <c r="D15" i="2" s="1"/>
  <c r="C19" i="2"/>
  <c r="C15" i="2" s="1"/>
  <c r="L18" i="2"/>
  <c r="K18" i="2"/>
  <c r="J18" i="2"/>
  <c r="I18" i="2"/>
  <c r="H18" i="2"/>
  <c r="L17" i="2"/>
  <c r="K17" i="2"/>
  <c r="J17" i="2"/>
  <c r="I17" i="2"/>
  <c r="H17" i="2"/>
  <c r="L16" i="2"/>
  <c r="K16" i="2"/>
  <c r="J16" i="2"/>
  <c r="I16" i="2"/>
  <c r="H16" i="2"/>
  <c r="L13" i="2"/>
  <c r="K13" i="2"/>
  <c r="K12" i="2" s="1"/>
  <c r="J13" i="2"/>
  <c r="I13" i="2"/>
  <c r="H13" i="2"/>
  <c r="G12" i="2"/>
  <c r="F12" i="2"/>
  <c r="L12" i="2" s="1"/>
  <c r="E12" i="2"/>
  <c r="D12" i="2"/>
  <c r="C12" i="2"/>
  <c r="L11" i="2"/>
  <c r="K11" i="2"/>
  <c r="J11" i="2"/>
  <c r="I11" i="2"/>
  <c r="H11" i="2"/>
  <c r="L10" i="2"/>
  <c r="K10" i="2"/>
  <c r="J10" i="2"/>
  <c r="I10" i="2"/>
  <c r="H10" i="2"/>
  <c r="L9" i="2"/>
  <c r="K9" i="2"/>
  <c r="J9" i="2"/>
  <c r="I9" i="2"/>
  <c r="H9" i="2"/>
  <c r="G8" i="2"/>
  <c r="F8" i="2"/>
  <c r="E8" i="2"/>
  <c r="D8" i="2"/>
  <c r="C8" i="2"/>
  <c r="L7" i="2"/>
  <c r="K7" i="2"/>
  <c r="J7" i="2"/>
  <c r="I7" i="2"/>
  <c r="H7" i="2"/>
  <c r="F18" i="13" l="1"/>
  <c r="E6" i="2"/>
  <c r="I19" i="2"/>
  <c r="K8" i="2"/>
  <c r="F6" i="2"/>
  <c r="H6" i="2" s="1"/>
  <c r="J19" i="2"/>
  <c r="C6" i="2"/>
  <c r="C37" i="2" s="1"/>
  <c r="C46" i="2" s="1"/>
  <c r="F15" i="2"/>
  <c r="K15" i="2" s="1"/>
  <c r="D6" i="2"/>
  <c r="D37" i="2" s="1"/>
  <c r="D46" i="2" s="1"/>
  <c r="G15" i="2"/>
  <c r="I15" i="2" s="1"/>
  <c r="H19" i="2"/>
  <c r="K19" i="2"/>
  <c r="I8" i="2"/>
  <c r="L19" i="2"/>
  <c r="I25" i="2"/>
  <c r="K6" i="2"/>
  <c r="C14" i="2"/>
  <c r="H12" i="2"/>
  <c r="I12" i="2"/>
  <c r="H15" i="2"/>
  <c r="J8" i="2"/>
  <c r="J12" i="2"/>
  <c r="G6" i="2"/>
  <c r="L6" i="2" s="1"/>
  <c r="L8" i="2"/>
  <c r="I38" i="2"/>
  <c r="D14" i="2"/>
  <c r="E14" i="2"/>
  <c r="E37" i="2" s="1"/>
  <c r="E46" i="2" s="1"/>
  <c r="F24" i="2"/>
  <c r="F14" i="2" s="1"/>
  <c r="F37" i="2" s="1"/>
  <c r="G24" i="2"/>
  <c r="F38" i="2"/>
  <c r="J25" i="2"/>
  <c r="I39" i="2"/>
  <c r="J39" i="2"/>
  <c r="L25" i="2"/>
  <c r="K39" i="2"/>
  <c r="H25" i="2"/>
  <c r="H39" i="2"/>
  <c r="H8" i="2"/>
  <c r="F21" i="13" l="1"/>
  <c r="F17" i="13"/>
  <c r="F16" i="13"/>
  <c r="F14" i="13"/>
  <c r="J21" i="13"/>
  <c r="F13" i="13"/>
  <c r="I21" i="13"/>
  <c r="F12" i="13"/>
  <c r="F11" i="13"/>
  <c r="F10" i="13"/>
  <c r="F9" i="13"/>
  <c r="F20" i="13"/>
  <c r="F15" i="13"/>
  <c r="F8" i="13"/>
  <c r="J6" i="2"/>
  <c r="I6" i="2"/>
  <c r="L15" i="2"/>
  <c r="J15" i="2"/>
  <c r="G14" i="2"/>
  <c r="K14" i="2" s="1"/>
  <c r="I24" i="2"/>
  <c r="J37" i="2"/>
  <c r="H37" i="2"/>
  <c r="F46" i="2"/>
  <c r="H14" i="2"/>
  <c r="J14" i="2"/>
  <c r="L38" i="2"/>
  <c r="H38" i="2"/>
  <c r="K38" i="2"/>
  <c r="J38" i="2"/>
  <c r="J24" i="2"/>
  <c r="L24" i="2"/>
  <c r="K24" i="2"/>
  <c r="H24" i="2"/>
  <c r="I14" i="2" l="1"/>
  <c r="G37" i="2"/>
  <c r="L14" i="2"/>
  <c r="H46" i="2"/>
  <c r="J46" i="2"/>
  <c r="I37" i="2" l="1"/>
  <c r="G46" i="2"/>
  <c r="K37" i="2"/>
  <c r="L37" i="2"/>
  <c r="I46" i="2" l="1"/>
  <c r="K46" i="2"/>
  <c r="L46" i="2"/>
  <c r="J41" i="10" l="1"/>
  <c r="E27" i="39"/>
  <c r="C27" i="39"/>
  <c r="J37" i="14"/>
  <c r="J35" i="14"/>
  <c r="J26" i="14"/>
  <c r="J8" i="14"/>
  <c r="G27" i="14"/>
  <c r="E27" i="14"/>
  <c r="J29" i="14"/>
  <c r="I29" i="14"/>
  <c r="I28" i="14"/>
  <c r="J20" i="14"/>
  <c r="J22" i="14"/>
  <c r="J21" i="14"/>
  <c r="D18" i="38"/>
  <c r="D21" i="38" s="1"/>
  <c r="G8" i="39"/>
  <c r="I8" i="14"/>
  <c r="F8" i="39"/>
  <c r="C13" i="38"/>
  <c r="J47" i="10"/>
  <c r="J22" i="40"/>
  <c r="I37" i="14"/>
  <c r="J25" i="14"/>
  <c r="I25" i="14"/>
  <c r="J27" i="14" l="1"/>
  <c r="C18" i="38"/>
  <c r="I22" i="40"/>
  <c r="F25" i="39" l="1"/>
  <c r="G25" i="39"/>
  <c r="F38" i="39"/>
  <c r="F28" i="39"/>
  <c r="F29" i="39"/>
  <c r="G38" i="39"/>
  <c r="G28" i="39"/>
  <c r="G29" i="39"/>
  <c r="D27" i="39"/>
  <c r="G18" i="38" l="1"/>
  <c r="C40" i="39"/>
  <c r="C18" i="13" l="1"/>
  <c r="H49" i="10"/>
  <c r="F49" i="10"/>
  <c r="I47" i="10"/>
  <c r="I22" i="10"/>
  <c r="I25" i="40"/>
  <c r="J25" i="40"/>
  <c r="I15" i="40"/>
  <c r="J15" i="40"/>
  <c r="C21" i="13" l="1"/>
  <c r="I49" i="10"/>
  <c r="D21" i="13" l="1"/>
  <c r="D17" i="13"/>
  <c r="D20" i="13"/>
  <c r="D9" i="13"/>
  <c r="D11" i="13"/>
  <c r="D12" i="13"/>
  <c r="D14" i="13"/>
  <c r="D16" i="13"/>
  <c r="D13" i="13"/>
  <c r="G17" i="38"/>
  <c r="F16" i="38"/>
  <c r="G15" i="38"/>
  <c r="F15" i="38"/>
  <c r="G14" i="38"/>
  <c r="F14" i="38"/>
  <c r="G13" i="38"/>
  <c r="F13" i="38"/>
  <c r="G12" i="38"/>
  <c r="F12" i="38"/>
  <c r="G11" i="38"/>
  <c r="F11" i="38"/>
  <c r="G10" i="38"/>
  <c r="F10" i="38"/>
  <c r="G9" i="38"/>
  <c r="F9" i="38"/>
  <c r="J17" i="13"/>
  <c r="I17" i="13"/>
  <c r="J16" i="13"/>
  <c r="I16" i="13"/>
  <c r="J15" i="13"/>
  <c r="I15" i="13"/>
  <c r="J14" i="13"/>
  <c r="I14" i="13"/>
  <c r="J13" i="13"/>
  <c r="I13" i="13"/>
  <c r="J12" i="13"/>
  <c r="I12" i="13"/>
  <c r="J11" i="13"/>
  <c r="I11" i="13"/>
  <c r="J10" i="13"/>
  <c r="I10" i="13"/>
  <c r="J9" i="13"/>
  <c r="I9" i="13"/>
  <c r="F8" i="38" l="1"/>
  <c r="J18" i="13"/>
  <c r="I18" i="13"/>
  <c r="I8" i="13"/>
  <c r="J8" i="13"/>
  <c r="G37" i="39" l="1"/>
  <c r="F37" i="39"/>
  <c r="G36" i="39"/>
  <c r="F36" i="39"/>
  <c r="G35" i="39"/>
  <c r="F35" i="39"/>
  <c r="G32" i="39"/>
  <c r="F32" i="39"/>
  <c r="G31" i="39"/>
  <c r="F31" i="39"/>
  <c r="G30" i="39"/>
  <c r="F30" i="39"/>
  <c r="G27" i="39"/>
  <c r="F27" i="39"/>
  <c r="G26" i="39"/>
  <c r="F26" i="39"/>
  <c r="G24" i="39"/>
  <c r="F24" i="39"/>
  <c r="G23" i="39"/>
  <c r="F23" i="39"/>
  <c r="G22" i="39"/>
  <c r="F22" i="39"/>
  <c r="G21" i="39"/>
  <c r="F21" i="39"/>
  <c r="G20" i="39"/>
  <c r="F20" i="39"/>
  <c r="G19" i="39"/>
  <c r="F19" i="39"/>
  <c r="G18" i="39"/>
  <c r="F18" i="39"/>
  <c r="G17" i="39"/>
  <c r="F17" i="39"/>
  <c r="G16" i="39"/>
  <c r="F16" i="39"/>
  <c r="G15" i="39"/>
  <c r="F15" i="39"/>
  <c r="G14" i="39"/>
  <c r="F14" i="39"/>
  <c r="G13" i="39"/>
  <c r="F13" i="39"/>
  <c r="G12" i="39"/>
  <c r="F12" i="39"/>
  <c r="G11" i="39"/>
  <c r="F11" i="39"/>
  <c r="G10" i="39"/>
  <c r="F10" i="39"/>
  <c r="E9" i="39"/>
  <c r="D9" i="39"/>
  <c r="J39" i="14"/>
  <c r="I39" i="14"/>
  <c r="J36" i="14"/>
  <c r="I36" i="14"/>
  <c r="I35" i="14"/>
  <c r="I34" i="14"/>
  <c r="E33" i="14"/>
  <c r="J32" i="14"/>
  <c r="I32" i="14"/>
  <c r="J31" i="14"/>
  <c r="I31" i="14"/>
  <c r="J30" i="14"/>
  <c r="I30" i="14"/>
  <c r="I27" i="14"/>
  <c r="I26" i="14"/>
  <c r="J24" i="14"/>
  <c r="I24" i="14"/>
  <c r="J23" i="14"/>
  <c r="I23" i="14"/>
  <c r="I22" i="14"/>
  <c r="I21" i="14"/>
  <c r="I20" i="14"/>
  <c r="J19" i="14"/>
  <c r="I19" i="14"/>
  <c r="J18" i="14"/>
  <c r="I18" i="14"/>
  <c r="J17" i="14"/>
  <c r="I17" i="14"/>
  <c r="J16" i="14"/>
  <c r="I16" i="14"/>
  <c r="J15" i="14"/>
  <c r="I15" i="14"/>
  <c r="J14" i="14"/>
  <c r="I14" i="14"/>
  <c r="J13" i="14"/>
  <c r="I13" i="14"/>
  <c r="J12" i="14"/>
  <c r="I12" i="14"/>
  <c r="J11" i="14"/>
  <c r="I11" i="14"/>
  <c r="J10" i="14"/>
  <c r="I10" i="14"/>
  <c r="G9" i="14"/>
  <c r="E9" i="14"/>
  <c r="C9" i="14"/>
  <c r="C40" i="14" s="1"/>
  <c r="D36" i="14" s="1"/>
  <c r="H38" i="14" l="1"/>
  <c r="G40" i="14"/>
  <c r="E40" i="39"/>
  <c r="D8" i="14"/>
  <c r="D24" i="14"/>
  <c r="D25" i="14"/>
  <c r="D23" i="14"/>
  <c r="D29" i="14"/>
  <c r="D35" i="14"/>
  <c r="D33" i="14"/>
  <c r="D28" i="14"/>
  <c r="J33" i="14"/>
  <c r="E40" i="14"/>
  <c r="H9" i="14"/>
  <c r="D37" i="14"/>
  <c r="D40" i="39"/>
  <c r="I9" i="14"/>
  <c r="F33" i="39"/>
  <c r="F9" i="39"/>
  <c r="I33" i="14"/>
  <c r="G33" i="39"/>
  <c r="G9" i="39"/>
  <c r="J9" i="14"/>
  <c r="J40" i="14" l="1"/>
  <c r="I40" i="14"/>
  <c r="H8" i="14"/>
  <c r="H29" i="14"/>
  <c r="H28" i="14"/>
  <c r="H25" i="14"/>
  <c r="H24" i="14"/>
  <c r="H37" i="14"/>
  <c r="H34" i="14"/>
  <c r="H33" i="14"/>
  <c r="H32" i="14"/>
  <c r="H31" i="14"/>
  <c r="H30" i="14"/>
  <c r="F8" i="14"/>
  <c r="F23" i="14"/>
  <c r="F30" i="14"/>
  <c r="F33" i="14"/>
  <c r="F29" i="14"/>
  <c r="F26" i="14"/>
  <c r="F27" i="14"/>
  <c r="F28" i="14"/>
  <c r="F25" i="14"/>
  <c r="F24" i="14"/>
  <c r="F37" i="14"/>
  <c r="D27" i="14"/>
  <c r="D34" i="14"/>
  <c r="D20" i="14"/>
  <c r="D31" i="14"/>
  <c r="D22" i="14"/>
  <c r="D12" i="14"/>
  <c r="D18" i="14"/>
  <c r="D14" i="14"/>
  <c r="D26" i="14"/>
  <c r="D10" i="14"/>
  <c r="D21" i="14"/>
  <c r="D32" i="14"/>
  <c r="D30" i="14"/>
  <c r="D15" i="14"/>
  <c r="D13" i="14"/>
  <c r="D39" i="14"/>
  <c r="D19" i="14"/>
  <c r="D17" i="14"/>
  <c r="D16" i="14"/>
  <c r="D11" i="14"/>
  <c r="D9" i="14"/>
  <c r="D40" i="14"/>
  <c r="H39" i="14"/>
  <c r="H22" i="14"/>
  <c r="F22" i="14"/>
  <c r="F14" i="14"/>
  <c r="F36" i="14"/>
  <c r="F17" i="14"/>
  <c r="F34" i="14"/>
  <c r="F20" i="14"/>
  <c r="F12" i="14"/>
  <c r="F39" i="14"/>
  <c r="F19" i="14"/>
  <c r="F15" i="14"/>
  <c r="F40" i="14"/>
  <c r="F31" i="14"/>
  <c r="F18" i="14"/>
  <c r="F10" i="14"/>
  <c r="F21" i="14"/>
  <c r="F13" i="14"/>
  <c r="F32" i="14"/>
  <c r="F11" i="14"/>
  <c r="F35" i="14"/>
  <c r="F16" i="14"/>
  <c r="H36" i="14"/>
  <c r="H17" i="14"/>
  <c r="H20" i="14"/>
  <c r="H12" i="14"/>
  <c r="H40" i="14"/>
  <c r="H26" i="14"/>
  <c r="H23" i="14"/>
  <c r="H15" i="14"/>
  <c r="H18" i="14"/>
  <c r="H10" i="14"/>
  <c r="H21" i="14"/>
  <c r="H13" i="14"/>
  <c r="H35" i="14"/>
  <c r="H27" i="14"/>
  <c r="H16" i="14"/>
  <c r="H14" i="14"/>
  <c r="H19" i="14"/>
  <c r="H11" i="14"/>
  <c r="F9" i="14"/>
  <c r="G38" i="40" l="1"/>
  <c r="H38" i="40"/>
  <c r="F38" i="40"/>
  <c r="J36" i="40"/>
  <c r="I36" i="40"/>
  <c r="J35" i="40"/>
  <c r="I35" i="40"/>
  <c r="J34" i="40"/>
  <c r="I34" i="40"/>
  <c r="J33" i="40"/>
  <c r="I33" i="40"/>
  <c r="J32" i="40"/>
  <c r="I32" i="40"/>
  <c r="J30" i="40"/>
  <c r="I30" i="40"/>
  <c r="J29" i="40"/>
  <c r="I29" i="40"/>
  <c r="J28" i="40"/>
  <c r="I28" i="40"/>
  <c r="J27" i="40"/>
  <c r="I27" i="40"/>
  <c r="J26" i="40"/>
  <c r="I26" i="40"/>
  <c r="J24" i="40"/>
  <c r="I24" i="40"/>
  <c r="J23" i="40"/>
  <c r="I23" i="40"/>
  <c r="J21" i="40"/>
  <c r="I21" i="40"/>
  <c r="J20" i="40"/>
  <c r="I20" i="40"/>
  <c r="J19" i="40"/>
  <c r="I19" i="40"/>
  <c r="J18" i="40"/>
  <c r="I18" i="40"/>
  <c r="J17" i="40"/>
  <c r="I17" i="40"/>
  <c r="J16" i="40"/>
  <c r="I16" i="40"/>
  <c r="J14" i="40"/>
  <c r="I14" i="40"/>
  <c r="J13" i="40"/>
  <c r="I13" i="40"/>
  <c r="J12" i="40"/>
  <c r="I12" i="40"/>
  <c r="J11" i="40"/>
  <c r="I11" i="40"/>
  <c r="J10" i="40"/>
  <c r="I10" i="40"/>
  <c r="J9" i="40"/>
  <c r="I9" i="40"/>
  <c r="J8" i="40"/>
  <c r="I8" i="40"/>
  <c r="J48" i="10"/>
  <c r="I48" i="10"/>
  <c r="J46" i="10"/>
  <c r="I46" i="10"/>
  <c r="J45" i="10"/>
  <c r="I45" i="10"/>
  <c r="J44" i="10"/>
  <c r="I44" i="10"/>
  <c r="J43" i="10"/>
  <c r="I43" i="10"/>
  <c r="J42" i="10"/>
  <c r="I42" i="10"/>
  <c r="I41" i="10"/>
  <c r="J40" i="10"/>
  <c r="I40" i="10"/>
  <c r="J39" i="10"/>
  <c r="I39" i="10"/>
  <c r="J38" i="10"/>
  <c r="I38" i="10"/>
  <c r="J37" i="10"/>
  <c r="I37" i="10"/>
  <c r="J36" i="10"/>
  <c r="I36" i="10"/>
  <c r="J35" i="10"/>
  <c r="I35" i="10"/>
  <c r="J34" i="10"/>
  <c r="I34" i="10"/>
  <c r="J33" i="10"/>
  <c r="I33" i="10"/>
  <c r="J32" i="10"/>
  <c r="I32" i="10"/>
  <c r="J31" i="10"/>
  <c r="I31" i="10"/>
  <c r="J30" i="10"/>
  <c r="I30" i="10"/>
  <c r="J29" i="10"/>
  <c r="I29" i="10"/>
  <c r="J28" i="10"/>
  <c r="I28" i="10"/>
  <c r="J27" i="10"/>
  <c r="I27" i="10"/>
  <c r="J26" i="10"/>
  <c r="I26" i="10"/>
  <c r="I25" i="10"/>
  <c r="J24" i="10"/>
  <c r="I24" i="10"/>
  <c r="J23" i="10"/>
  <c r="I23" i="10"/>
  <c r="I21" i="10"/>
  <c r="J21" i="10"/>
  <c r="J20" i="10"/>
  <c r="I20" i="10"/>
  <c r="I19" i="10"/>
  <c r="J19" i="10"/>
  <c r="J18" i="10"/>
  <c r="I18" i="10"/>
  <c r="J17" i="10"/>
  <c r="I17" i="10"/>
  <c r="J16" i="10"/>
  <c r="I16" i="10"/>
  <c r="J15" i="10"/>
  <c r="I15" i="10"/>
  <c r="I14" i="10"/>
  <c r="J14" i="10"/>
  <c r="J13" i="10"/>
  <c r="I13" i="10"/>
  <c r="J12" i="10"/>
  <c r="I12" i="10"/>
  <c r="I11" i="10"/>
  <c r="J11" i="10"/>
  <c r="J10" i="10"/>
  <c r="I10" i="10"/>
  <c r="I9" i="10"/>
  <c r="J9" i="10"/>
  <c r="J8" i="10"/>
  <c r="I8" i="10"/>
  <c r="I38" i="40" l="1"/>
  <c r="J38" i="40"/>
  <c r="I37" i="40"/>
  <c r="J37" i="40"/>
  <c r="G49" i="10"/>
  <c r="J49" i="10" s="1"/>
</calcChain>
</file>

<file path=xl/sharedStrings.xml><?xml version="1.0" encoding="utf-8"?>
<sst xmlns="http://schemas.openxmlformats.org/spreadsheetml/2006/main" count="908" uniqueCount="365">
  <si>
    <t>1.</t>
  </si>
  <si>
    <t>2.</t>
  </si>
  <si>
    <t>3.</t>
  </si>
  <si>
    <t>4.</t>
  </si>
  <si>
    <t>5.</t>
  </si>
  <si>
    <t>6.</t>
  </si>
  <si>
    <t>7.</t>
  </si>
  <si>
    <t>8.</t>
  </si>
  <si>
    <t>Įvykdymo procentas</t>
  </si>
  <si>
    <t xml:space="preserve"> tūkst. eurų</t>
  </si>
  <si>
    <t>Palūkanos</t>
  </si>
  <si>
    <t>Įstaigos pavadinimas</t>
  </si>
  <si>
    <t>Metinis patikslintas planas</t>
  </si>
  <si>
    <t>Įvykdyta</t>
  </si>
  <si>
    <t>Gargždų "Vaivorykštės" gimnazija</t>
  </si>
  <si>
    <t>Priekulės I.Simonaitytės gimnazija</t>
  </si>
  <si>
    <t>Endriejavo pagrindinė mokykla</t>
  </si>
  <si>
    <t>Gargždų "Minijos" progimnazija</t>
  </si>
  <si>
    <t>9.</t>
  </si>
  <si>
    <t>Dovilų pagrindinė mokykla</t>
  </si>
  <si>
    <t>10.</t>
  </si>
  <si>
    <t>11.</t>
  </si>
  <si>
    <t>Ketvergių pagrindinė mokykla</t>
  </si>
  <si>
    <t>12.</t>
  </si>
  <si>
    <t>Kretingalės pagrindinė mokykla</t>
  </si>
  <si>
    <t>13.</t>
  </si>
  <si>
    <t>14.</t>
  </si>
  <si>
    <t>Plikių I. Labutytės pagrindinė mokykla</t>
  </si>
  <si>
    <t>15.</t>
  </si>
  <si>
    <t>16.</t>
  </si>
  <si>
    <t>Vėžaičių pagrindinė mokykla</t>
  </si>
  <si>
    <t>17.</t>
  </si>
  <si>
    <t>Slengių mokykla-daugiafunkcis centras</t>
  </si>
  <si>
    <t>18.</t>
  </si>
  <si>
    <t>19.</t>
  </si>
  <si>
    <t>Gargždų lopšelis-darželis "Ąžuoliukas"</t>
  </si>
  <si>
    <t>20.</t>
  </si>
  <si>
    <t>Gargždų lopšelis-darželis "Gintarėlis"</t>
  </si>
  <si>
    <t>21.</t>
  </si>
  <si>
    <t>Gargždų lopšelis -darželis "Saulutė"</t>
  </si>
  <si>
    <t>22.</t>
  </si>
  <si>
    <t>23.</t>
  </si>
  <si>
    <t>24.</t>
  </si>
  <si>
    <t>25.</t>
  </si>
  <si>
    <t>26.</t>
  </si>
  <si>
    <t>Gargždų lopšelis-darželis "Naminukas"</t>
  </si>
  <si>
    <t>27.</t>
  </si>
  <si>
    <t>28.</t>
  </si>
  <si>
    <t>Priekulės vaikų lopšelis-darželis</t>
  </si>
  <si>
    <t>29.</t>
  </si>
  <si>
    <t>30.</t>
  </si>
  <si>
    <t>Gargždų muzikos mokykla</t>
  </si>
  <si>
    <t>31.</t>
  </si>
  <si>
    <t>32.</t>
  </si>
  <si>
    <t>33.</t>
  </si>
  <si>
    <t>Vaikų ir jaunimo laisvalaikio centras</t>
  </si>
  <si>
    <t>34.</t>
  </si>
  <si>
    <t>Švietimo centras</t>
  </si>
  <si>
    <t>35.</t>
  </si>
  <si>
    <t>Gargždų atviro jaunimo centras</t>
  </si>
  <si>
    <t>36.</t>
  </si>
  <si>
    <t>Klaipėdos rajono turizmo informacijos centras</t>
  </si>
  <si>
    <t>37.</t>
  </si>
  <si>
    <t>Klaipėdos r. savivaldybės visuomenės sveikatos biuras</t>
  </si>
  <si>
    <t>38.</t>
  </si>
  <si>
    <t>Gargždų socialinių paslaugų centras</t>
  </si>
  <si>
    <t>39.</t>
  </si>
  <si>
    <t>Klaipėdos rajono paramos šeimai centras</t>
  </si>
  <si>
    <t>Priekulės socialinių paslaugų centras</t>
  </si>
  <si>
    <t>Viliaus Gaigalaičio globos namai</t>
  </si>
  <si>
    <t>Jono Lankučio viešoji biblioteka</t>
  </si>
  <si>
    <t>Gargždų krašto muziejus</t>
  </si>
  <si>
    <t>Gargždų kultūros centras</t>
  </si>
  <si>
    <t>Kretingalės kultūros centras</t>
  </si>
  <si>
    <t>Veiviržėnų kultūros centras</t>
  </si>
  <si>
    <t>Vėžaičių kultūros centras</t>
  </si>
  <si>
    <t>Sporto centras</t>
  </si>
  <si>
    <t>Klaipėdos r. sav. priešgaisrinė tarnyba</t>
  </si>
  <si>
    <t>Savivaldybės administracija</t>
  </si>
  <si>
    <t>IŠ VISO PAJAMŲ:</t>
  </si>
  <si>
    <t xml:space="preserve">UŽ PATALPŲ NUOMĄ ĮMOKŲ Į SAVIVALDYBĖS BIUDŽETĄ PLANO ĮVYKDYMAS </t>
  </si>
  <si>
    <t xml:space="preserve">  tūkst. eurų</t>
  </si>
  <si>
    <t>Veiviržėnų Jurgio Šaulio gimnazija</t>
  </si>
  <si>
    <t>IŠ VISO:</t>
  </si>
  <si>
    <t>Mityba</t>
  </si>
  <si>
    <t>Medikamentai</t>
  </si>
  <si>
    <t>Ryšių paslaugos</t>
  </si>
  <si>
    <t>Transporto išlaikymas</t>
  </si>
  <si>
    <t>Apranga ir patalynė</t>
  </si>
  <si>
    <t>Komandiruotės</t>
  </si>
  <si>
    <t>Kvalifikacijos kėlimas</t>
  </si>
  <si>
    <t>Komunalinės paslaugos</t>
  </si>
  <si>
    <t>Reprezentacinės išlaidos</t>
  </si>
  <si>
    <t>Subsidijos</t>
  </si>
  <si>
    <t>Socialinės išmokos</t>
  </si>
  <si>
    <t>Kitos išlaidos</t>
  </si>
  <si>
    <t>Žemė</t>
  </si>
  <si>
    <t>Iš viso:</t>
  </si>
  <si>
    <t>Asignavimai pagal valstybės funkcijas</t>
  </si>
  <si>
    <t>IŠ VISO ASIGNAVIMŲ:</t>
  </si>
  <si>
    <t>2 lentelė</t>
  </si>
  <si>
    <t>3 lentelė</t>
  </si>
  <si>
    <t>9 lentelė</t>
  </si>
  <si>
    <t xml:space="preserve"> Bendros valstybės paslaugos</t>
  </si>
  <si>
    <t xml:space="preserve"> Gynyba</t>
  </si>
  <si>
    <t xml:space="preserve"> Viešoji tvarka ir visuomenės apsauga</t>
  </si>
  <si>
    <t xml:space="preserve"> Ekonomika</t>
  </si>
  <si>
    <t xml:space="preserve"> Aplinkos apsauga</t>
  </si>
  <si>
    <t xml:space="preserve"> Būstas ir komunalinis ūkis</t>
  </si>
  <si>
    <t xml:space="preserve"> Poilsis, kultūra ir religija</t>
  </si>
  <si>
    <t xml:space="preserve"> Švietimas</t>
  </si>
  <si>
    <t xml:space="preserve"> Socialinė apsauga</t>
  </si>
  <si>
    <t>Struktūra procentais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</si>
  <si>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</si>
  <si>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</si>
  <si>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</si>
  <si>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</si>
  <si>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</si>
  <si>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</si>
  <si>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</si>
  <si>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</si>
  <si>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</si>
  <si>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Gyvenamųjų vietovių viešasis ūkis</t>
  </si>
  <si>
    <t>2.10.</t>
  </si>
  <si>
    <t>2.11.</t>
  </si>
  <si>
    <t>Mater. turto paprastasis remontas</t>
  </si>
  <si>
    <t>2.12.</t>
  </si>
  <si>
    <t>2.13.</t>
  </si>
  <si>
    <t>2.14.</t>
  </si>
  <si>
    <t>Kitos prekės ir paslaugos</t>
  </si>
  <si>
    <t>Gyventojų pajamų mokestis</t>
  </si>
  <si>
    <t>Žemės mokestis</t>
  </si>
  <si>
    <t>Nekilnojamojo turto mokestis</t>
  </si>
  <si>
    <t>Kiti mokesčiai už valstybinius gamtos išteklius</t>
  </si>
  <si>
    <t>Pajamos už prekes ir paslaugas</t>
  </si>
  <si>
    <t>Pajamos už ilgalaikio ir trumpalaikio materialiojo turto nuomą</t>
  </si>
  <si>
    <t>Ekonominė klasifikacija</t>
  </si>
  <si>
    <t>Pajamų pavadinimas</t>
  </si>
  <si>
    <t xml:space="preserve"> +/-</t>
  </si>
  <si>
    <t>%</t>
  </si>
  <si>
    <t>Paveldimo turto mokestis</t>
  </si>
  <si>
    <t>Mokesčiai už aplinkos teršimą</t>
  </si>
  <si>
    <t>Nuomos mokestis už valstybinę žemę</t>
  </si>
  <si>
    <t>Mokestis už medžiojamųjų gyvūnų išteklius</t>
  </si>
  <si>
    <t>Įmokos už išlaikymą švietimo, socialinės apsaugos ir kitose įstaigose</t>
  </si>
  <si>
    <t>Pajamos iš baudų, konfiskuoto turto ir kitų netesybų</t>
  </si>
  <si>
    <t>Kitos neišvardytos pajamos</t>
  </si>
  <si>
    <t>met.pl.</t>
  </si>
  <si>
    <t>tūkst. eurų</t>
  </si>
  <si>
    <t>Patikslintas metinis planas</t>
  </si>
  <si>
    <t>7 lentelė</t>
  </si>
  <si>
    <t>Mater. ir nemater. turto nuoma</t>
  </si>
  <si>
    <t>Informacinių tech. prekės ir pasl.</t>
  </si>
  <si>
    <t>Sumokėtos palūkanos</t>
  </si>
  <si>
    <t>Ilgalaikio turto įsigijimas</t>
  </si>
  <si>
    <t>Nematerialiojo turto įsigijimas</t>
  </si>
  <si>
    <t>6 lentelė</t>
  </si>
  <si>
    <t>Asignavimų pavadinimas</t>
  </si>
  <si>
    <t>8 lentelė</t>
  </si>
  <si>
    <t>Angliavandenilių išteklių mokestis</t>
  </si>
  <si>
    <t>Pajamos už parduotą žemę</t>
  </si>
  <si>
    <t xml:space="preserve">    +;-</t>
  </si>
  <si>
    <t>proc.</t>
  </si>
  <si>
    <t>Struktūra proc.</t>
  </si>
  <si>
    <t>Ekspertų ir konsultantų paslaugos</t>
  </si>
  <si>
    <t>2.15.</t>
  </si>
  <si>
    <t>Dividendai</t>
  </si>
  <si>
    <t xml:space="preserve">  +;-</t>
  </si>
  <si>
    <t>Prekės ir paslaugos</t>
  </si>
  <si>
    <t>Infrastruktūros plėtros įmokų lėšos</t>
  </si>
  <si>
    <t>Veiviržėnų J.Šaulio gimnazija</t>
  </si>
  <si>
    <t>Gargždų "Kranto" progimnazija</t>
  </si>
  <si>
    <t>Agluonėnų mokykla-darželis</t>
  </si>
  <si>
    <t>Lopšelis-darželis "Ąžuoliukas"</t>
  </si>
  <si>
    <t>Lopšelis-darželis "Gintarėlis"</t>
  </si>
  <si>
    <t>Lopšelis-darželis "Naminukas"</t>
  </si>
  <si>
    <t>Akcijos</t>
  </si>
  <si>
    <t>MOKESČIAI (2+3+7)</t>
  </si>
  <si>
    <t>Turto mokesčiai (4+5+6)</t>
  </si>
  <si>
    <t>Prekių ir paslaugų mokesčiai (8)</t>
  </si>
  <si>
    <t>KITOS PAJAMOS (10+15+19+20)</t>
  </si>
  <si>
    <t>Turto pajamos (11+12+13+14)</t>
  </si>
  <si>
    <t>Mokesčiai už valstybinius gamtos išteklius, iš jų:</t>
  </si>
  <si>
    <t>14.1.</t>
  </si>
  <si>
    <t>14.2</t>
  </si>
  <si>
    <t>14.3.</t>
  </si>
  <si>
    <t>Želdinių atkuriamosios vertės lėšos</t>
  </si>
  <si>
    <t>14.4.</t>
  </si>
  <si>
    <t>Pajamos už prekes ir paslaugas (16+17+18)</t>
  </si>
  <si>
    <t>Biudžetinių įstaigų pajamos už prekes ir paslaugas, iš jų:</t>
  </si>
  <si>
    <t>16.1.</t>
  </si>
  <si>
    <t>16.2.</t>
  </si>
  <si>
    <t>16.3.</t>
  </si>
  <si>
    <t>16.4.</t>
  </si>
  <si>
    <t>Valstybės rinkliava</t>
  </si>
  <si>
    <t>Vietinės rinkliavos, iš jų:</t>
  </si>
  <si>
    <t>18.1.</t>
  </si>
  <si>
    <t>Komunalinių atliekų surinkimą iš atliekų turėtojų ir atliekų tvarkymą</t>
  </si>
  <si>
    <t>MATERIALIOJO IR NEMATERIALIOJO TURTO REALIZAVIMO PAJAMOS, IŠ JŲ:</t>
  </si>
  <si>
    <t>IŠ VISO PAJAMŲ SAVARANKIŠKOSIOMS FUNKCIJOMS VYKDYTI (1+9+21)</t>
  </si>
  <si>
    <t>DOTACIJOS (24+30)</t>
  </si>
  <si>
    <t>VALSTYBĖS BIUDŽETO DOTACIJOS (25+26+27+28+29)</t>
  </si>
  <si>
    <t>Valstybinėms (valstybės perduotoms savivaldybėms) funkcijoms vykdyti</t>
  </si>
  <si>
    <t>Ugdymo reikmėms finansuoti</t>
  </si>
  <si>
    <t>Iš apskrities perduotai įstaigai finansuoti</t>
  </si>
  <si>
    <t>Klasių, skirtų mokiniams, turintiems specialiųjų ugdymosi poreikių, ūkio lėšoms finansuoti</t>
  </si>
  <si>
    <t xml:space="preserve">Kitos dotacijos </t>
  </si>
  <si>
    <t>DOTACIJA SAVIVALDYBĖMS IŠ EUROPOS SĄJUNGOS, KITOS TARPTAUTINĖS FINANSINĖS PARAMOS IR BENDROJO FINANSAVIMO LĖŠŲ</t>
  </si>
  <si>
    <t>IŠ VISO (22+23)</t>
  </si>
  <si>
    <t xml:space="preserve">TEIKIAMAS PASLAUGAS ĮMOKŲ Į SAVIVALDYBĖS BIUDŽETĄ PLANO ĮVYKDYMAS </t>
  </si>
  <si>
    <t>Eil. Nr.</t>
  </si>
  <si>
    <t>Dituvos A. T. Kuršaičio pagrindinė mokykla</t>
  </si>
  <si>
    <t>Klaipėdos rajono etninės kultūros centras</t>
  </si>
  <si>
    <t>Priekulės meno ir kultūros centras</t>
  </si>
  <si>
    <t>2024 m. įvykdyta</t>
  </si>
  <si>
    <t xml:space="preserve"> +,-</t>
  </si>
  <si>
    <t>Materialiojo ir nemat. turto nuoma</t>
  </si>
  <si>
    <t xml:space="preserve">Ekspertų ir konsultantų paslaugų įsigijimo išlaidos </t>
  </si>
  <si>
    <t>Informacinių technologijų prekių ir paslaugų įsigijimas</t>
  </si>
  <si>
    <t>Viešinimo išlaidos</t>
  </si>
  <si>
    <t>2.16.</t>
  </si>
  <si>
    <t>Kitų prekių ir paslaugų įsigijimas</t>
  </si>
  <si>
    <t>Materialinio ir nematerialinio turto išlaidos</t>
  </si>
  <si>
    <t>7.1.</t>
  </si>
  <si>
    <t>7.2.</t>
  </si>
  <si>
    <t>7.3.</t>
  </si>
  <si>
    <t>7.4.</t>
  </si>
  <si>
    <t>Ilgalaikių paskolų grąžinimas</t>
  </si>
  <si>
    <t xml:space="preserve"> Viešoji tvarka ir visuomenės  apsauga</t>
  </si>
  <si>
    <t xml:space="preserve"> Sveikatos apsauga</t>
  </si>
  <si>
    <t xml:space="preserve"> Bendrosios valstybės paslaugos</t>
  </si>
  <si>
    <t>Lopšelis-darželis "Saulutė"</t>
  </si>
  <si>
    <t>Klaipėdos r. Sendvario "Saulės" mokykla</t>
  </si>
  <si>
    <t>40.</t>
  </si>
  <si>
    <t>41.</t>
  </si>
  <si>
    <t>21.1</t>
  </si>
  <si>
    <t>2025 m. įvykdyta</t>
  </si>
  <si>
    <t>Asignavimų valdytojas</t>
  </si>
  <si>
    <t>Finansavimo šaltinis</t>
  </si>
  <si>
    <t>Įvykdymo proc.</t>
  </si>
  <si>
    <t>Iš viso</t>
  </si>
  <si>
    <t>Iš jų:</t>
  </si>
  <si>
    <t>nuo  metinio plano</t>
  </si>
  <si>
    <t>nuo ataskaitinio laikotarpio plano</t>
  </si>
  <si>
    <t>Paprastosios išlaidos</t>
  </si>
  <si>
    <t>Turtui įsigyti</t>
  </si>
  <si>
    <t>Iš jų darbo užmokesčiui</t>
  </si>
  <si>
    <t>Klaipėdos rajono savivaldybės administracija</t>
  </si>
  <si>
    <t>1-Žinių visuomenės plėtros programa</t>
  </si>
  <si>
    <t>ES</t>
  </si>
  <si>
    <t>ML</t>
  </si>
  <si>
    <t>ML(UK)</t>
  </si>
  <si>
    <t>SB</t>
  </si>
  <si>
    <t>SL(ES)</t>
  </si>
  <si>
    <t>VBD</t>
  </si>
  <si>
    <t>VBES</t>
  </si>
  <si>
    <t>2-Ekonominio konkurencingumo didinimo programa</t>
  </si>
  <si>
    <t>Ž</t>
  </si>
  <si>
    <t>3-Aplinkos apsaugos programa</t>
  </si>
  <si>
    <t>AA</t>
  </si>
  <si>
    <t>GŠV</t>
  </si>
  <si>
    <t>LA</t>
  </si>
  <si>
    <t>LGŠV</t>
  </si>
  <si>
    <t>LS</t>
  </si>
  <si>
    <t>S</t>
  </si>
  <si>
    <t>4-Sveikatos apsaugos programa</t>
  </si>
  <si>
    <t>5-Socialinės paramos programa</t>
  </si>
  <si>
    <t>VBD(UK)</t>
  </si>
  <si>
    <t>6-Susisiekimo ir inžinerinės infrastruktūros plėtros programa</t>
  </si>
  <si>
    <t>KPPP</t>
  </si>
  <si>
    <t>8-Kūno kultūros ir sporto plėtros programa</t>
  </si>
  <si>
    <t>LK</t>
  </si>
  <si>
    <t>SL</t>
  </si>
  <si>
    <t>LŽ</t>
  </si>
  <si>
    <t>Gargždų " Vaivorykštės" gimnazija</t>
  </si>
  <si>
    <t>Luminor Bank AS</t>
  </si>
  <si>
    <t>AB SEB bankas</t>
  </si>
  <si>
    <t>Gargždų atviras jaunimo centras</t>
  </si>
  <si>
    <t>AS "Citadele banka"</t>
  </si>
  <si>
    <t>4 lentelė</t>
  </si>
  <si>
    <t>1</t>
  </si>
  <si>
    <t>Žinių visuomenės plėtros programa</t>
  </si>
  <si>
    <t>2</t>
  </si>
  <si>
    <t>Ekonominio konkurencingumo didinimo programa</t>
  </si>
  <si>
    <t>3</t>
  </si>
  <si>
    <t>Aplinkos apsaugos programa</t>
  </si>
  <si>
    <t>4</t>
  </si>
  <si>
    <t>Sveikatos apsaugos programa</t>
  </si>
  <si>
    <t>5</t>
  </si>
  <si>
    <t>Socialinės paramos programa</t>
  </si>
  <si>
    <t>6</t>
  </si>
  <si>
    <t>Susisiekimo ir inžinerinės infrastruktūros plėtros programa</t>
  </si>
  <si>
    <t>7</t>
  </si>
  <si>
    <t>8</t>
  </si>
  <si>
    <t>Kūno kultūros ir sporto plėtros programa</t>
  </si>
  <si>
    <t>9</t>
  </si>
  <si>
    <t>5 lentelė</t>
  </si>
  <si>
    <t>Kultūros paveldo puoselėjimo ir kultūros paslaugų plėtros programa</t>
  </si>
  <si>
    <t>Savivaldybės valdymo ir pagrindinių funkcijų vykdymo programa</t>
  </si>
  <si>
    <t>9-Savivaldybės valdymo ir pagrindinių funkcijų vykdymo programa</t>
  </si>
  <si>
    <t>7-Kultūros paveldo puoselėjimo ir kultūros paslaugų plėtros programa</t>
  </si>
  <si>
    <t>1 lentelė</t>
  </si>
  <si>
    <t>Darbo užmokestis ir socialinio draudimo įmokos</t>
  </si>
  <si>
    <t>2026 metinis planas</t>
  </si>
  <si>
    <t xml:space="preserve">2026 m. </t>
  </si>
  <si>
    <t>Programos kodas</t>
  </si>
  <si>
    <t>VBD(T)</t>
  </si>
  <si>
    <t>Klaipėdos r. Priekulės Ievos Simonaitytės gimnazija</t>
  </si>
  <si>
    <t>Klaipėdos r. Veiviržėnų Jurgio Šaulio gimnazija</t>
  </si>
  <si>
    <t>Klaipėdos r. Agluonėnų mokykla-darželis</t>
  </si>
  <si>
    <t>Klaipėdos r. Dovilų pagrindinė mokykla</t>
  </si>
  <si>
    <t>Klaipėdos r. Ketvergių pagrindinė mokykla</t>
  </si>
  <si>
    <t>Klaipėdos r. Plikių Ievos Labutytės pagrindinė mokykla</t>
  </si>
  <si>
    <t>Gargždų lopšelis-darželis Saulutė</t>
  </si>
  <si>
    <t>Klaipėdos r. Vėžaičių pagrindinė mokykla</t>
  </si>
  <si>
    <t>Klaipėdos r. Endriejavo pagrindinė mokykla</t>
  </si>
  <si>
    <t>Klaipėdos r. Dituvos Aleksandro Teodoro Kuršaičio pagrindinė moky</t>
  </si>
  <si>
    <t>Gargždų vaikų ir jaunimo laisvalaikio centras</t>
  </si>
  <si>
    <t>Klaipėdos r. Priekulės vaikų lopšelis-darželis</t>
  </si>
  <si>
    <t>Klaipėdos rajono Pedagoginė psichologinė tarnyba</t>
  </si>
  <si>
    <t>Klaipėdos rajono Švietimo centras</t>
  </si>
  <si>
    <t>Klaipėdos rajono savivaldybės visuomenės sveikatos biuras</t>
  </si>
  <si>
    <t>Klaipėdos rajono savivaldybės biudžetinė įstaiga sporto centras</t>
  </si>
  <si>
    <t>Klaipėdos r. savivaldybės Kontrolės ir audito tarnyba</t>
  </si>
  <si>
    <t>Klaipėdos rajono savivaldybės priešgaisrinė tarnyba</t>
  </si>
  <si>
    <t>Klaipėdos r. Slengių mokykla-daugiafunkcis centras</t>
  </si>
  <si>
    <t>AB Artea bankas</t>
  </si>
  <si>
    <t>Programa</t>
  </si>
  <si>
    <t>Pavadinimas</t>
  </si>
  <si>
    <t>3.1.</t>
  </si>
  <si>
    <t>3.2.</t>
  </si>
  <si>
    <t>Asignavimų valdytojų sumokėtos palūkanos</t>
  </si>
  <si>
    <t>Savivaldybių sumokėtos palūkanos</t>
  </si>
  <si>
    <t>2.17.</t>
  </si>
  <si>
    <t>Teisinių paslaugų įsigijimo išlaidos</t>
  </si>
  <si>
    <t>2026 m. įvykdyta</t>
  </si>
  <si>
    <t>2026 m. palyginus su 2025 m.</t>
  </si>
  <si>
    <t>Pastatų ir statinių įsigijimas</t>
  </si>
  <si>
    <t>2026 m. palyginimas su 2025 m.</t>
  </si>
  <si>
    <t>Materialiojo ir nematerialiojo turto įsigijimo išlaidos</t>
  </si>
  <si>
    <t xml:space="preserve">2026 M. I PUSMEČIO IŠ SAVIVALDYBĖS BIUDŽETO IŠLAIKOMŲ ĮSTAIGŲ PAJAMŲ UŽ </t>
  </si>
  <si>
    <t>2026 M. I PUSMEČIO IŠ SAVIVALDYBĖS BIUDŽETO IŠLAIKOMŲ ĮSTAIGŲ PAJAMŲ</t>
  </si>
  <si>
    <t>2026 M. I PUSMEČIO  SAVIVALDYBĖS BIUDŽETO ASIGNAVIMAI PAGAL PROGRAMAS</t>
  </si>
  <si>
    <t xml:space="preserve">2024-2026 M. I PUSMEČIO SAVIVALDYBĖS BIUDŽETO ASIGNAVIMŲ STRUKTŪRA PAGAL VALSTYBĖS FUNKCIJAS </t>
  </si>
  <si>
    <t xml:space="preserve">  2024-2026 M.  I PUSMEČIO SAVIVALDYBĖS BIUDŽETO ASIGNAVIMŲ STRUKTŪRA PAGAL EKONOMINĮ PASKIRSTYMĄ</t>
  </si>
  <si>
    <t xml:space="preserve">     2026 M. I PUSMEČIO SAVIVALDYBĖS BIUDŽETO ASIGNAVIMAI PAGAL EKONOMINĮ PASKIRSTYMĄ  </t>
  </si>
  <si>
    <t>Patikslintas I pusmečio planas</t>
  </si>
  <si>
    <t>I pusm. plano įvykdymas</t>
  </si>
  <si>
    <t>Patikslintas I pusmečio  planas</t>
  </si>
  <si>
    <t>SAVIVALDYBĖS  BIUDŽETO  PAJAMŲ  PLANO ĮVYKDYMAS 2026 M. BIRŽELIO 30 D.</t>
  </si>
  <si>
    <t>Įvykdyta 2025 06 30</t>
  </si>
  <si>
    <t>Įvykdymo palyginimas 2026 06 30 /2025 06 30</t>
  </si>
  <si>
    <t>I pusmečio planas</t>
  </si>
  <si>
    <t>Įvykdyta 2026 06 30</t>
  </si>
  <si>
    <t>2026 m. I pusmečio</t>
  </si>
  <si>
    <t>2025 06 30/ 2025 m. įvykdymu</t>
  </si>
  <si>
    <t>13 k.</t>
  </si>
  <si>
    <t>2026 06 30/ 2026 m. planu</t>
  </si>
  <si>
    <t xml:space="preserve"> 2026 M. I PUSMEČIO SAVIVALDYBĖS  BIUDŽETO ASIGNAVIMAI PAGAL VALSTYBĖS FUNKCIJAS  </t>
  </si>
  <si>
    <t>I pusm. pl.</t>
  </si>
  <si>
    <t>Žemės įsigijimo išlaidos</t>
  </si>
  <si>
    <t>Metinis planas</t>
  </si>
  <si>
    <t>Įvykdymas</t>
  </si>
  <si>
    <t>2026 M. I PUSMEČIO  SAVIVALDYBĖS BIUDŽETO ASIGNAVIMAI PAGAL ASIGNAVIMŲ VALDYTOJUS</t>
  </si>
  <si>
    <t>Paskolų grąžinimas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</si>
</sst>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#####0.0"/>
    <numFmt numFmtId="167" formatCode="0.000"/>
    <numFmt numFmtId="168" formatCode="########0.00"/>
  </numFmts>
  <fonts count="2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color indexed="62"/>
      <name val="Calibri"/>
      <family val="2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12" fillId="0" borderId="0"/>
    <xf numFmtId="0" fontId="13" fillId="0" borderId="0"/>
    <xf numFmtId="0" fontId="15" fillId="0" borderId="0"/>
    <xf numFmtId="0" fontId="16" fillId="0" borderId="0"/>
    <xf numFmtId="0" fontId="5" fillId="0" borderId="0"/>
    <xf numFmtId="0" fontId="13" fillId="0" borderId="0"/>
    <xf numFmtId="0" fontId="4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4" fillId="2" borderId="1" applyNumberFormat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</cellStyleXfs>
  <cellXfs count="230">
    <xf numFmtId="0" fontId="0" fillId="0" borderId="0" xfId="0"/>
    <xf numFmtId="0" fontId="0" fillId="0" borderId="2" xfId="0" applyBorder="1"/>
    <xf numFmtId="0" fontId="0" fillId="0" borderId="9" xfId="0" applyBorder="1"/>
    <xf numFmtId="0" fontId="3" fillId="0" borderId="0" xfId="0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/>
    <xf numFmtId="167" fontId="0" fillId="0" borderId="4" xfId="0" applyNumberFormat="1" applyBorder="1"/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 wrapText="1"/>
    </xf>
    <xf numFmtId="0" fontId="17" fillId="0" borderId="2" xfId="0" applyFont="1" applyBorder="1" applyAlignment="1">
      <alignment wrapText="1"/>
    </xf>
    <xf numFmtId="0" fontId="18" fillId="0" borderId="2" xfId="0" applyFont="1" applyBorder="1"/>
    <xf numFmtId="0" fontId="17" fillId="0" borderId="9" xfId="0" applyFont="1" applyBorder="1"/>
    <xf numFmtId="0" fontId="17" fillId="0" borderId="2" xfId="0" applyFont="1" applyBorder="1" applyAlignment="1">
      <alignment horizontal="center"/>
    </xf>
    <xf numFmtId="0" fontId="17" fillId="0" borderId="15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7" xfId="0" applyFont="1" applyBorder="1" applyAlignment="1">
      <alignment horizontal="left"/>
    </xf>
    <xf numFmtId="1" fontId="17" fillId="0" borderId="2" xfId="0" applyNumberFormat="1" applyFont="1" applyBorder="1"/>
    <xf numFmtId="0" fontId="17" fillId="0" borderId="4" xfId="0" applyFont="1" applyBorder="1"/>
    <xf numFmtId="0" fontId="17" fillId="0" borderId="16" xfId="0" applyFont="1" applyBorder="1"/>
    <xf numFmtId="1" fontId="17" fillId="0" borderId="2" xfId="0" applyNumberFormat="1" applyFont="1" applyBorder="1" applyAlignment="1">
      <alignment horizontal="right"/>
    </xf>
    <xf numFmtId="0" fontId="17" fillId="0" borderId="7" xfId="0" applyFont="1" applyBorder="1"/>
    <xf numFmtId="0" fontId="17" fillId="0" borderId="5" xfId="0" applyFont="1" applyBorder="1"/>
    <xf numFmtId="0" fontId="17" fillId="0" borderId="3" xfId="0" applyFont="1" applyBorder="1"/>
    <xf numFmtId="164" fontId="17" fillId="0" borderId="2" xfId="0" applyNumberFormat="1" applyFont="1" applyBorder="1"/>
    <xf numFmtId="0" fontId="17" fillId="0" borderId="1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17" fillId="0" borderId="15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wrapText="1" shrinkToFit="1"/>
    </xf>
    <xf numFmtId="164" fontId="17" fillId="0" borderId="10" xfId="0" applyNumberFormat="1" applyFont="1" applyBorder="1"/>
    <xf numFmtId="164" fontId="17" fillId="0" borderId="6" xfId="0" applyNumberFormat="1" applyFont="1" applyBorder="1"/>
    <xf numFmtId="0" fontId="17" fillId="0" borderId="10" xfId="0" applyFont="1" applyBorder="1"/>
    <xf numFmtId="164" fontId="17" fillId="0" borderId="14" xfId="0" applyNumberFormat="1" applyFont="1" applyBorder="1"/>
    <xf numFmtId="16" fontId="17" fillId="0" borderId="2" xfId="0" applyNumberFormat="1" applyFont="1" applyBorder="1"/>
    <xf numFmtId="164" fontId="17" fillId="0" borderId="2" xfId="0" applyNumberFormat="1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3" xfId="0" applyFont="1" applyBorder="1"/>
    <xf numFmtId="0" fontId="18" fillId="0" borderId="3" xfId="0" applyFont="1" applyBorder="1"/>
    <xf numFmtId="164" fontId="18" fillId="0" borderId="10" xfId="0" applyNumberFormat="1" applyFont="1" applyBorder="1"/>
    <xf numFmtId="164" fontId="18" fillId="0" borderId="2" xfId="0" applyNumberFormat="1" applyFont="1" applyBorder="1"/>
    <xf numFmtId="0" fontId="19" fillId="0" borderId="0" xfId="0" applyFont="1"/>
    <xf numFmtId="0" fontId="20" fillId="0" borderId="0" xfId="0" applyFont="1" applyAlignment="1">
      <alignment horizontal="center" shrinkToFit="1"/>
    </xf>
    <xf numFmtId="0" fontId="19" fillId="0" borderId="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wrapText="1"/>
    </xf>
    <xf numFmtId="0" fontId="17" fillId="0" borderId="15" xfId="0" applyFont="1" applyBorder="1"/>
    <xf numFmtId="0" fontId="19" fillId="0" borderId="2" xfId="0" applyFont="1" applyBorder="1"/>
    <xf numFmtId="0" fontId="19" fillId="0" borderId="3" xfId="0" applyFont="1" applyBorder="1"/>
    <xf numFmtId="164" fontId="19" fillId="0" borderId="10" xfId="0" applyNumberFormat="1" applyFont="1" applyBorder="1"/>
    <xf numFmtId="0" fontId="19" fillId="0" borderId="8" xfId="0" applyFont="1" applyBorder="1"/>
    <xf numFmtId="164" fontId="19" fillId="0" borderId="2" xfId="0" applyNumberFormat="1" applyFont="1" applyBorder="1"/>
    <xf numFmtId="0" fontId="19" fillId="0" borderId="8" xfId="0" applyFont="1" applyBorder="1" applyAlignment="1">
      <alignment vertical="top"/>
    </xf>
    <xf numFmtId="0" fontId="19" fillId="0" borderId="2" xfId="0" applyFont="1" applyBorder="1" applyAlignment="1">
      <alignment wrapText="1"/>
    </xf>
    <xf numFmtId="0" fontId="19" fillId="0" borderId="9" xfId="0" applyFont="1" applyBorder="1"/>
    <xf numFmtId="0" fontId="19" fillId="0" borderId="10" xfId="0" applyFont="1" applyBorder="1"/>
    <xf numFmtId="164" fontId="19" fillId="0" borderId="14" xfId="0" applyNumberFormat="1" applyFont="1" applyBorder="1"/>
    <xf numFmtId="1" fontId="19" fillId="0" borderId="14" xfId="0" applyNumberFormat="1" applyFont="1" applyBorder="1"/>
    <xf numFmtId="0" fontId="17" fillId="0" borderId="2" xfId="0" applyFont="1" applyBorder="1" applyAlignment="1">
      <alignment vertical="top"/>
    </xf>
    <xf numFmtId="0" fontId="17" fillId="0" borderId="8" xfId="0" applyFont="1" applyBorder="1"/>
    <xf numFmtId="164" fontId="17" fillId="0" borderId="4" xfId="0" applyNumberFormat="1" applyFont="1" applyBorder="1"/>
    <xf numFmtId="0" fontId="17" fillId="0" borderId="2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right"/>
    </xf>
    <xf numFmtId="0" fontId="17" fillId="0" borderId="10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6" xfId="0" applyFont="1" applyBorder="1"/>
    <xf numFmtId="0" fontId="17" fillId="0" borderId="6" xfId="0" applyFont="1" applyBorder="1" applyAlignment="1">
      <alignment horizontal="left"/>
    </xf>
    <xf numFmtId="0" fontId="17" fillId="0" borderId="2" xfId="0" applyFont="1" applyBorder="1" applyAlignment="1">
      <alignment horizontal="left" vertical="top"/>
    </xf>
    <xf numFmtId="164" fontId="17" fillId="0" borderId="8" xfId="0" applyNumberFormat="1" applyFont="1" applyBorder="1"/>
    <xf numFmtId="164" fontId="18" fillId="0" borderId="2" xfId="0" applyNumberFormat="1" applyFont="1" applyBorder="1" applyAlignment="1">
      <alignment horizontal="right"/>
    </xf>
    <xf numFmtId="0" fontId="17" fillId="3" borderId="2" xfId="0" applyFont="1" applyFill="1" applyBorder="1"/>
    <xf numFmtId="164" fontId="17" fillId="3" borderId="10" xfId="0" applyNumberFormat="1" applyFont="1" applyFill="1" applyBorder="1"/>
    <xf numFmtId="0" fontId="17" fillId="3" borderId="8" xfId="0" applyFont="1" applyFill="1" applyBorder="1"/>
    <xf numFmtId="164" fontId="17" fillId="3" borderId="2" xfId="0" applyNumberFormat="1" applyFont="1" applyFill="1" applyBorder="1"/>
    <xf numFmtId="0" fontId="17" fillId="3" borderId="21" xfId="0" applyFont="1" applyFill="1" applyBorder="1"/>
    <xf numFmtId="0" fontId="18" fillId="0" borderId="0" xfId="0" applyFont="1" applyAlignment="1">
      <alignment horizontal="left"/>
    </xf>
    <xf numFmtId="14" fontId="18" fillId="0" borderId="0" xfId="0" applyNumberFormat="1" applyFont="1" applyAlignment="1">
      <alignment horizontal="center"/>
    </xf>
    <xf numFmtId="2" fontId="17" fillId="0" borderId="2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66" fontId="18" fillId="0" borderId="2" xfId="0" applyNumberFormat="1" applyFont="1" applyBorder="1" applyAlignment="1">
      <alignment horizontal="right"/>
    </xf>
    <xf numFmtId="166" fontId="21" fillId="3" borderId="2" xfId="0" applyNumberFormat="1" applyFont="1" applyFill="1" applyBorder="1" applyAlignment="1">
      <alignment horizontal="right"/>
    </xf>
    <xf numFmtId="166" fontId="18" fillId="4" borderId="2" xfId="0" applyNumberFormat="1" applyFont="1" applyFill="1" applyBorder="1" applyAlignment="1">
      <alignment horizontal="right"/>
    </xf>
    <xf numFmtId="166" fontId="18" fillId="0" borderId="2" xfId="0" applyNumberFormat="1" applyFont="1" applyBorder="1"/>
    <xf numFmtId="166" fontId="17" fillId="0" borderId="2" xfId="0" applyNumberFormat="1" applyFont="1" applyBorder="1" applyAlignment="1">
      <alignment horizontal="right"/>
    </xf>
    <xf numFmtId="166" fontId="22" fillId="3" borderId="2" xfId="0" applyNumberFormat="1" applyFont="1" applyFill="1" applyBorder="1" applyAlignment="1">
      <alignment horizontal="right"/>
    </xf>
    <xf numFmtId="166" fontId="17" fillId="4" borderId="2" xfId="0" applyNumberFormat="1" applyFont="1" applyFill="1" applyBorder="1" applyAlignment="1">
      <alignment horizontal="right"/>
    </xf>
    <xf numFmtId="166" fontId="17" fillId="0" borderId="2" xfId="0" applyNumberFormat="1" applyFont="1" applyBorder="1"/>
    <xf numFmtId="164" fontId="22" fillId="3" borderId="2" xfId="7" applyNumberFormat="1" applyFont="1" applyFill="1" applyBorder="1" applyAlignment="1">
      <alignment horizontal="right"/>
    </xf>
    <xf numFmtId="164" fontId="17" fillId="4" borderId="2" xfId="7" applyNumberFormat="1" applyFont="1" applyFill="1" applyBorder="1" applyAlignment="1" applyProtection="1">
      <alignment horizontal="right" vertical="center"/>
      <protection locked="0"/>
    </xf>
    <xf numFmtId="0" fontId="17" fillId="0" borderId="0" xfId="0" applyFont="1" applyAlignment="1">
      <alignment horizontal="left"/>
    </xf>
    <xf numFmtId="164" fontId="17" fillId="0" borderId="2" xfId="7" applyNumberFormat="1" applyFont="1" applyBorder="1" applyAlignment="1" applyProtection="1">
      <alignment horizontal="right" vertical="center"/>
      <protection locked="0"/>
    </xf>
    <xf numFmtId="164" fontId="22" fillId="3" borderId="2" xfId="7" applyNumberFormat="1" applyFont="1" applyFill="1" applyBorder="1" applyAlignment="1" applyProtection="1">
      <alignment horizontal="right" vertical="center"/>
      <protection locked="0"/>
    </xf>
    <xf numFmtId="0" fontId="17" fillId="0" borderId="2" xfId="0" applyFont="1" applyBorder="1" applyAlignment="1">
      <alignment horizontal="left" vertical="center"/>
    </xf>
    <xf numFmtId="164" fontId="17" fillId="4" borderId="2" xfId="7" applyNumberFormat="1" applyFont="1" applyFill="1" applyBorder="1" applyAlignment="1" applyProtection="1">
      <alignment horizontal="right"/>
      <protection locked="0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wrapText="1"/>
    </xf>
    <xf numFmtId="164" fontId="21" fillId="3" borderId="2" xfId="7" applyNumberFormat="1" applyFont="1" applyFill="1" applyBorder="1" applyAlignment="1">
      <alignment horizontal="right"/>
    </xf>
    <xf numFmtId="164" fontId="18" fillId="4" borderId="2" xfId="7" applyNumberFormat="1" applyFont="1" applyFill="1" applyBorder="1" applyAlignment="1" applyProtection="1">
      <alignment horizontal="right"/>
      <protection locked="0"/>
    </xf>
    <xf numFmtId="0" fontId="18" fillId="0" borderId="8" xfId="0" applyFont="1" applyBorder="1" applyAlignment="1">
      <alignment horizontal="left" vertical="center"/>
    </xf>
    <xf numFmtId="166" fontId="21" fillId="3" borderId="8" xfId="0" applyNumberFormat="1" applyFont="1" applyFill="1" applyBorder="1" applyAlignment="1">
      <alignment horizontal="right"/>
    </xf>
    <xf numFmtId="0" fontId="18" fillId="0" borderId="2" xfId="0" applyFont="1" applyBorder="1" applyAlignment="1">
      <alignment wrapText="1"/>
    </xf>
    <xf numFmtId="165" fontId="18" fillId="0" borderId="2" xfId="0" applyNumberFormat="1" applyFont="1" applyBorder="1"/>
    <xf numFmtId="165" fontId="21" fillId="3" borderId="2" xfId="0" applyNumberFormat="1" applyFont="1" applyFill="1" applyBorder="1"/>
    <xf numFmtId="165" fontId="18" fillId="4" borderId="2" xfId="0" applyNumberFormat="1" applyFont="1" applyFill="1" applyBorder="1"/>
    <xf numFmtId="0" fontId="18" fillId="0" borderId="0" xfId="0" applyFont="1"/>
    <xf numFmtId="0" fontId="18" fillId="0" borderId="7" xfId="0" applyFont="1" applyBorder="1" applyAlignment="1">
      <alignment horizontal="left"/>
    </xf>
    <xf numFmtId="0" fontId="17" fillId="0" borderId="2" xfId="0" quotePrefix="1" applyFont="1" applyBorder="1" applyAlignment="1">
      <alignment horizontal="left" vertical="center" wrapText="1"/>
    </xf>
    <xf numFmtId="165" fontId="17" fillId="0" borderId="2" xfId="0" applyNumberFormat="1" applyFont="1" applyBorder="1" applyAlignment="1">
      <alignment horizontal="right"/>
    </xf>
    <xf numFmtId="165" fontId="17" fillId="0" borderId="0" xfId="0" applyNumberFormat="1" applyFont="1"/>
    <xf numFmtId="164" fontId="20" fillId="0" borderId="19" xfId="0" applyNumberFormat="1" applyFont="1" applyBorder="1"/>
    <xf numFmtId="0" fontId="17" fillId="3" borderId="3" xfId="0" applyFont="1" applyFill="1" applyBorder="1"/>
    <xf numFmtId="0" fontId="18" fillId="0" borderId="0" xfId="0" applyFont="1" applyAlignment="1">
      <alignment vertical="center"/>
    </xf>
    <xf numFmtId="0" fontId="17" fillId="3" borderId="15" xfId="0" applyFont="1" applyFill="1" applyBorder="1"/>
    <xf numFmtId="0" fontId="19" fillId="3" borderId="3" xfId="0" applyFont="1" applyFill="1" applyBorder="1"/>
    <xf numFmtId="0" fontId="19" fillId="3" borderId="2" xfId="0" applyFont="1" applyFill="1" applyBorder="1"/>
    <xf numFmtId="0" fontId="19" fillId="3" borderId="14" xfId="0" applyFont="1" applyFill="1" applyBorder="1"/>
    <xf numFmtId="0" fontId="19" fillId="0" borderId="4" xfId="0" applyFont="1" applyBorder="1"/>
    <xf numFmtId="165" fontId="17" fillId="0" borderId="2" xfId="21" applyNumberFormat="1" applyFont="1" applyBorder="1"/>
    <xf numFmtId="165" fontId="22" fillId="3" borderId="2" xfId="21" applyNumberFormat="1" applyFont="1" applyFill="1" applyBorder="1"/>
    <xf numFmtId="164" fontId="17" fillId="0" borderId="2" xfId="7" applyNumberFormat="1" applyFont="1" applyBorder="1" applyAlignment="1" applyProtection="1">
      <alignment horizontal="right"/>
      <protection locked="0"/>
    </xf>
    <xf numFmtId="164" fontId="18" fillId="0" borderId="2" xfId="7" applyNumberFormat="1" applyFont="1" applyBorder="1" applyAlignment="1" applyProtection="1">
      <alignment horizontal="right"/>
      <protection locked="0"/>
    </xf>
    <xf numFmtId="164" fontId="18" fillId="0" borderId="2" xfId="7" applyNumberFormat="1" applyFont="1" applyBorder="1" applyAlignment="1" applyProtection="1">
      <alignment horizontal="right" vertical="center"/>
      <protection locked="0"/>
    </xf>
    <xf numFmtId="0" fontId="18" fillId="0" borderId="8" xfId="0" applyFont="1" applyBorder="1" applyAlignment="1">
      <alignment wrapText="1"/>
    </xf>
    <xf numFmtId="166" fontId="18" fillId="0" borderId="8" xfId="0" applyNumberFormat="1" applyFont="1" applyBorder="1" applyAlignment="1">
      <alignment horizontal="right"/>
    </xf>
    <xf numFmtId="165" fontId="18" fillId="0" borderId="2" xfId="21" applyNumberFormat="1" applyFont="1" applyBorder="1"/>
    <xf numFmtId="165" fontId="21" fillId="3" borderId="2" xfId="21" applyNumberFormat="1" applyFont="1" applyFill="1" applyBorder="1"/>
    <xf numFmtId="165" fontId="18" fillId="4" borderId="2" xfId="21" applyNumberFormat="1" applyFont="1" applyFill="1" applyBorder="1"/>
    <xf numFmtId="0" fontId="18" fillId="0" borderId="2" xfId="0" applyFont="1" applyBorder="1" applyAlignment="1">
      <alignment horizontal="left" vertical="top"/>
    </xf>
    <xf numFmtId="0" fontId="22" fillId="0" borderId="20" xfId="0" applyFont="1" applyBorder="1" applyAlignment="1">
      <alignment wrapText="1"/>
    </xf>
    <xf numFmtId="164" fontId="17" fillId="0" borderId="2" xfId="21" applyNumberFormat="1" applyFont="1" applyBorder="1" applyAlignment="1">
      <alignment wrapText="1"/>
    </xf>
    <xf numFmtId="0" fontId="17" fillId="0" borderId="2" xfId="14" applyFont="1" applyFill="1" applyBorder="1" applyAlignment="1" applyProtection="1">
      <alignment horizontal="left" vertical="center" wrapText="1"/>
    </xf>
    <xf numFmtId="0" fontId="17" fillId="0" borderId="2" xfId="14" applyFont="1" applyFill="1" applyBorder="1" applyAlignment="1" applyProtection="1">
      <alignment horizontal="center" vertical="center" wrapText="1"/>
    </xf>
    <xf numFmtId="165" fontId="17" fillId="0" borderId="2" xfId="14" applyNumberFormat="1" applyFont="1" applyFill="1" applyBorder="1" applyAlignment="1">
      <alignment horizontal="right"/>
    </xf>
    <xf numFmtId="0" fontId="17" fillId="0" borderId="3" xfId="0" applyFont="1" applyBorder="1" applyAlignment="1">
      <alignment wrapText="1"/>
    </xf>
    <xf numFmtId="0" fontId="17" fillId="0" borderId="5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3" borderId="13" xfId="0" applyFont="1" applyFill="1" applyBorder="1"/>
    <xf numFmtId="0" fontId="17" fillId="0" borderId="14" xfId="0" applyFont="1" applyBorder="1"/>
    <xf numFmtId="164" fontId="17" fillId="3" borderId="3" xfId="0" applyNumberFormat="1" applyFont="1" applyFill="1" applyBorder="1"/>
    <xf numFmtId="164" fontId="20" fillId="0" borderId="18" xfId="0" applyNumberFormat="1" applyFont="1" applyBorder="1"/>
    <xf numFmtId="0" fontId="18" fillId="0" borderId="2" xfId="0" applyFont="1" applyBorder="1" applyAlignment="1">
      <alignment horizontal="right"/>
    </xf>
    <xf numFmtId="165" fontId="18" fillId="0" borderId="2" xfId="0" applyNumberFormat="1" applyFont="1" applyBorder="1" applyAlignment="1">
      <alignment horizontal="right"/>
    </xf>
    <xf numFmtId="1" fontId="18" fillId="0" borderId="2" xfId="0" applyNumberFormat="1" applyFont="1" applyBorder="1"/>
    <xf numFmtId="165" fontId="22" fillId="4" borderId="2" xfId="21" applyNumberFormat="1" applyFont="1" applyFill="1" applyBorder="1"/>
    <xf numFmtId="165" fontId="22" fillId="0" borderId="2" xfId="21" applyNumberFormat="1" applyFont="1" applyBorder="1"/>
    <xf numFmtId="168" fontId="18" fillId="0" borderId="2" xfId="0" applyNumberFormat="1" applyFont="1" applyBorder="1" applyAlignment="1">
      <alignment horizontal="right"/>
    </xf>
    <xf numFmtId="0" fontId="22" fillId="0" borderId="20" xfId="0" applyFont="1" applyBorder="1" applyAlignment="1">
      <alignment vertical="center" wrapText="1"/>
    </xf>
    <xf numFmtId="14" fontId="17" fillId="0" borderId="0" xfId="0" applyNumberFormat="1" applyFont="1"/>
    <xf numFmtId="14" fontId="23" fillId="0" borderId="6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4" borderId="6" xfId="0" applyFont="1" applyFill="1" applyBorder="1" applyAlignment="1">
      <alignment horizontal="center" vertical="center" wrapText="1"/>
    </xf>
    <xf numFmtId="164" fontId="19" fillId="3" borderId="14" xfId="0" applyNumberFormat="1" applyFont="1" applyFill="1" applyBorder="1"/>
    <xf numFmtId="1" fontId="17" fillId="3" borderId="3" xfId="0" applyNumberFormat="1" applyFont="1" applyFill="1" applyBorder="1"/>
    <xf numFmtId="0" fontId="17" fillId="0" borderId="0" xfId="0" applyFont="1" applyAlignment="1">
      <alignment horizontal="center"/>
    </xf>
    <xf numFmtId="165" fontId="18" fillId="3" borderId="10" xfId="14" applyNumberFormat="1" applyFont="1" applyFill="1" applyBorder="1" applyAlignment="1">
      <alignment horizontal="right"/>
    </xf>
    <xf numFmtId="165" fontId="18" fillId="3" borderId="2" xfId="14" applyNumberFormat="1" applyFont="1" applyFill="1" applyBorder="1" applyAlignment="1">
      <alignment horizontal="right"/>
    </xf>
    <xf numFmtId="165" fontId="17" fillId="3" borderId="2" xfId="14" applyNumberFormat="1" applyFont="1" applyFill="1" applyBorder="1" applyAlignment="1">
      <alignment horizontal="right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vertical="center" wrapText="1"/>
    </xf>
    <xf numFmtId="0" fontId="17" fillId="0" borderId="7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right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7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7" fillId="0" borderId="7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12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wrapText="1" shrinkToFit="1"/>
    </xf>
    <xf numFmtId="0" fontId="17" fillId="0" borderId="10" xfId="0" applyFont="1" applyBorder="1" applyAlignment="1">
      <alignment horizontal="center" vertical="center" wrapText="1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7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8" fillId="0" borderId="3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7" fillId="0" borderId="2" xfId="0" applyFont="1" applyBorder="1" applyAlignment="1">
      <alignment horizontal="left" vertical="center" wrapText="1"/>
    </xf>
    <xf numFmtId="0" fontId="17" fillId="0" borderId="2" xfId="7" applyFont="1" applyBorder="1" applyAlignment="1">
      <alignment horizontal="center"/>
    </xf>
    <xf numFmtId="0" fontId="17" fillId="0" borderId="2" xfId="7" applyFont="1" applyBorder="1" applyAlignment="1">
      <alignment horizontal="center" vertical="center" wrapText="1"/>
    </xf>
    <xf numFmtId="0" fontId="18" fillId="0" borderId="0" xfId="0" applyFont="1" applyAlignment="1">
      <alignment horizontal="center" shrinkToFit="1"/>
    </xf>
    <xf numFmtId="0" fontId="17" fillId="0" borderId="0" xfId="0" applyFont="1" applyAlignment="1">
      <alignment horizontal="right"/>
    </xf>
    <xf numFmtId="0" fontId="17" fillId="0" borderId="7" xfId="0" applyFont="1" applyBorder="1" applyAlignment="1">
      <alignment horizontal="center" wrapText="1" shrinkToFit="1"/>
    </xf>
    <xf numFmtId="0" fontId="17" fillId="0" borderId="3" xfId="0" applyFont="1" applyBorder="1" applyAlignment="1">
      <alignment horizontal="center" wrapText="1" shrinkToFit="1"/>
    </xf>
    <xf numFmtId="0" fontId="19" fillId="0" borderId="0" xfId="0" applyFont="1" applyAlignment="1">
      <alignment horizontal="right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0" xfId="0" applyFont="1" applyAlignment="1">
      <alignment horizontal="center" shrinkToFi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9" xfId="0" applyFont="1" applyBorder="1" applyAlignment="1">
      <alignment horizontal="right"/>
    </xf>
  </cellXfs>
  <cellStyles count="28">
    <cellStyle name="Įprastas" xfId="0" builtinId="0"/>
    <cellStyle name="Įprastas 10" xfId="1" xr:uid="{00000000-0005-0000-0000-000001000000}"/>
    <cellStyle name="Įprastas 10 2" xfId="16" xr:uid="{C262B60A-9C55-4E24-AE56-6EA60A4E8143}"/>
    <cellStyle name="Įprastas 11" xfId="2" xr:uid="{00000000-0005-0000-0000-000002000000}"/>
    <cellStyle name="Įprastas 11 2" xfId="17" xr:uid="{695E989A-7759-4236-AE0C-2058254BB1AC}"/>
    <cellStyle name="Įprastas 12" xfId="3" xr:uid="{00000000-0005-0000-0000-000003000000}"/>
    <cellStyle name="Įprastas 12 2" xfId="18" xr:uid="{857A1D04-D5D8-4999-9B5E-F5CFD5765B5F}"/>
    <cellStyle name="Įprastas 13" xfId="4" xr:uid="{00000000-0005-0000-0000-000004000000}"/>
    <cellStyle name="Įprastas 13 2" xfId="19" xr:uid="{4F59331E-B64F-4949-B24E-0C51091C72CC}"/>
    <cellStyle name="Įprastas 2" xfId="5" xr:uid="{00000000-0005-0000-0000-000005000000}"/>
    <cellStyle name="Įprastas 2 2" xfId="6" xr:uid="{00000000-0005-0000-0000-000006000000}"/>
    <cellStyle name="Įprastas 2 2 2" xfId="21" xr:uid="{9C44E29A-0F66-4F32-9B02-FEA9984A0EBE}"/>
    <cellStyle name="Įprastas 2 3" xfId="20" xr:uid="{6040A0B9-F349-4BD3-848E-FA2CF094219D}"/>
    <cellStyle name="Įprastas 3" xfId="7" xr:uid="{00000000-0005-0000-0000-000007000000}"/>
    <cellStyle name="Įprastas 4" xfId="8" xr:uid="{00000000-0005-0000-0000-000008000000}"/>
    <cellStyle name="Įprastas 4 2" xfId="22" xr:uid="{ADCC27F4-9E06-4CBA-87EB-5EE99A6B501F}"/>
    <cellStyle name="Įprastas 5" xfId="9" xr:uid="{00000000-0005-0000-0000-000009000000}"/>
    <cellStyle name="Įprastas 5 2" xfId="23" xr:uid="{32B9890D-C0FE-467F-8C76-4AE9F2A5CDCD}"/>
    <cellStyle name="Įprastas 6" xfId="10" xr:uid="{00000000-0005-0000-0000-00000A000000}"/>
    <cellStyle name="Įprastas 6 2" xfId="24" xr:uid="{A42A7688-8D46-429C-9471-7A75089A53C9}"/>
    <cellStyle name="Įprastas 7" xfId="11" xr:uid="{00000000-0005-0000-0000-00000B000000}"/>
    <cellStyle name="Įprastas 7 2" xfId="25" xr:uid="{9386BEA6-3AAC-44B7-8514-794D419349F3}"/>
    <cellStyle name="Įprastas 8" xfId="12" xr:uid="{00000000-0005-0000-0000-00000C000000}"/>
    <cellStyle name="Įprastas 8 2" xfId="26" xr:uid="{E750DD54-7DEC-41D8-87BF-2B5738B2BD66}"/>
    <cellStyle name="Įprastas 9" xfId="13" xr:uid="{00000000-0005-0000-0000-00000D000000}"/>
    <cellStyle name="Įprastas 9 2" xfId="27" xr:uid="{C3608F94-A952-4A34-B2AA-920919C3E655}"/>
    <cellStyle name="Įvestis 2" xfId="14" xr:uid="{00000000-0005-0000-0000-00000E000000}"/>
    <cellStyle name="Paprastas 2" xfId="15" xr:uid="{00000000-0005-0000-0000-00000F000000}"/>
  </cellStyles>
  <dxfs count="2">
    <dxf>
      <font>
        <condense val="0"/>
        <extend val="0"/>
      </font>
      <fill>
        <patternFill>
          <bgColor indexed="9"/>
        </patternFill>
      </fill>
    </dxf>
    <dxf>
      <font>
        <condense val="0"/>
        <extend val="0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zoomScaleNormal="100" workbookViewId="0"/>
  </sheetViews>
  <sheetFormatPr defaultColWidth="9.109375" defaultRowHeight="15" x14ac:dyDescent="0.25"/>
  <cols>
    <col min="1" max="1" width="9.5546875" style="9" customWidth="1"/>
    <col min="2" max="2" width="33" style="9" customWidth="1"/>
    <col min="3" max="3" width="11.44140625" style="9" customWidth="1"/>
    <col min="4" max="4" width="11.5546875" style="9" customWidth="1"/>
    <col min="5" max="5" width="11.44140625" style="9" customWidth="1"/>
    <col min="6" max="6" width="10" style="9" customWidth="1"/>
    <col min="7" max="7" width="10.6640625" style="9" customWidth="1"/>
    <col min="8" max="8" width="9.6640625" style="9" customWidth="1"/>
    <col min="9" max="9" width="11.33203125" style="9" customWidth="1"/>
    <col min="10" max="10" width="11.44140625" style="9" customWidth="1"/>
    <col min="11" max="11" width="10.44140625" style="9" customWidth="1"/>
    <col min="12" max="12" width="7.33203125" style="9" customWidth="1"/>
    <col min="13" max="16384" width="9.109375" style="9"/>
  </cols>
  <sheetData>
    <row r="1" spans="1:15" x14ac:dyDescent="0.25">
      <c r="K1" s="177" t="s">
        <v>301</v>
      </c>
      <c r="L1" s="177"/>
    </row>
    <row r="2" spans="1:15" ht="15" customHeight="1" x14ac:dyDescent="0.3">
      <c r="A2" s="172" t="s">
        <v>349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5" ht="15" customHeight="1" x14ac:dyDescent="0.3">
      <c r="A3" s="83"/>
      <c r="B3" s="11"/>
      <c r="G3" s="84"/>
      <c r="H3" s="84"/>
      <c r="I3" s="84"/>
      <c r="J3" s="84"/>
      <c r="K3" s="178" t="s">
        <v>9</v>
      </c>
      <c r="L3" s="178"/>
    </row>
    <row r="4" spans="1:15" ht="59.4" customHeight="1" x14ac:dyDescent="0.25">
      <c r="A4" s="173" t="s">
        <v>136</v>
      </c>
      <c r="B4" s="179" t="s">
        <v>137</v>
      </c>
      <c r="C4" s="173" t="s">
        <v>236</v>
      </c>
      <c r="D4" s="173" t="s">
        <v>303</v>
      </c>
      <c r="E4" s="181" t="s">
        <v>304</v>
      </c>
      <c r="F4" s="182"/>
      <c r="G4" s="173" t="s">
        <v>350</v>
      </c>
      <c r="H4" s="183" t="s">
        <v>8</v>
      </c>
      <c r="I4" s="183"/>
      <c r="J4" s="183"/>
      <c r="K4" s="181" t="s">
        <v>351</v>
      </c>
      <c r="L4" s="184"/>
    </row>
    <row r="5" spans="1:15" ht="52.95" customHeight="1" x14ac:dyDescent="0.25">
      <c r="A5" s="174"/>
      <c r="B5" s="180"/>
      <c r="C5" s="174"/>
      <c r="D5" s="174"/>
      <c r="E5" s="158" t="s">
        <v>352</v>
      </c>
      <c r="F5" s="160" t="s">
        <v>353</v>
      </c>
      <c r="G5" s="174"/>
      <c r="H5" s="159" t="s">
        <v>354</v>
      </c>
      <c r="I5" s="157" t="s">
        <v>355</v>
      </c>
      <c r="J5" s="158" t="s">
        <v>357</v>
      </c>
      <c r="K5" s="85" t="s">
        <v>138</v>
      </c>
      <c r="L5" s="86" t="s">
        <v>139</v>
      </c>
    </row>
    <row r="6" spans="1:15" ht="15.6" x14ac:dyDescent="0.3">
      <c r="A6" s="87" t="s">
        <v>0</v>
      </c>
      <c r="B6" s="87" t="s">
        <v>177</v>
      </c>
      <c r="C6" s="88">
        <f>(C7+C8+C12)</f>
        <v>94771.9</v>
      </c>
      <c r="D6" s="88">
        <f t="shared" ref="D6:E6" si="0">(D7+D8+D12)</f>
        <v>104971</v>
      </c>
      <c r="E6" s="89">
        <f t="shared" si="0"/>
        <v>49193</v>
      </c>
      <c r="F6" s="90">
        <f>(F7+F8+F12)</f>
        <v>47595.600000000006</v>
      </c>
      <c r="G6" s="88">
        <f t="shared" ref="G6" si="1">(G7+G8+G12)</f>
        <v>43417.2</v>
      </c>
      <c r="H6" s="88">
        <f>F6/E6*100</f>
        <v>96.752790031101995</v>
      </c>
      <c r="I6" s="88">
        <f t="shared" ref="I6:I46" si="2">SUM(G6/C6*100)</f>
        <v>45.812313565518892</v>
      </c>
      <c r="J6" s="31">
        <f t="shared" ref="J6:J46" si="3">SUM(F6/D6*100)</f>
        <v>45.341665793409611</v>
      </c>
      <c r="K6" s="88">
        <f>(K7+K8+K12)</f>
        <v>4178.4000000000024</v>
      </c>
      <c r="L6" s="91">
        <f t="shared" ref="L6:L32" si="4">(F6/G6*100)-100</f>
        <v>9.6238357148779983</v>
      </c>
    </row>
    <row r="7" spans="1:15" x14ac:dyDescent="0.25">
      <c r="A7" s="15" t="s">
        <v>1</v>
      </c>
      <c r="B7" s="15" t="s">
        <v>130</v>
      </c>
      <c r="C7" s="92">
        <v>90713.4</v>
      </c>
      <c r="D7" s="92">
        <v>100250</v>
      </c>
      <c r="E7" s="93">
        <v>46402</v>
      </c>
      <c r="F7" s="94">
        <v>45013.9</v>
      </c>
      <c r="G7" s="92">
        <v>41141.599999999999</v>
      </c>
      <c r="H7" s="92">
        <f t="shared" ref="H7:H45" si="5">F7/E7*100</f>
        <v>97.008534114908841</v>
      </c>
      <c r="I7" s="92">
        <f t="shared" si="2"/>
        <v>45.353387702368117</v>
      </c>
      <c r="J7" s="31">
        <f t="shared" si="3"/>
        <v>44.901645885286783</v>
      </c>
      <c r="K7" s="95">
        <f>F7-G7</f>
        <v>3872.3000000000029</v>
      </c>
      <c r="L7" s="95">
        <f t="shared" si="4"/>
        <v>9.4121278705738405</v>
      </c>
    </row>
    <row r="8" spans="1:15" ht="15.6" x14ac:dyDescent="0.3">
      <c r="A8" s="87" t="s">
        <v>2</v>
      </c>
      <c r="B8" s="87" t="s">
        <v>178</v>
      </c>
      <c r="C8" s="88">
        <f>SUM(C9+C10+C11)</f>
        <v>3783.2</v>
      </c>
      <c r="D8" s="88">
        <f>SUM(D9+D10+D11)</f>
        <v>4140</v>
      </c>
      <c r="E8" s="89">
        <f t="shared" ref="E8:K8" si="6">SUM(E9+E10+E11)</f>
        <v>2210</v>
      </c>
      <c r="F8" s="90">
        <f>SUM(F9+F10+F11)</f>
        <v>1989.8999999999999</v>
      </c>
      <c r="G8" s="88">
        <f t="shared" si="6"/>
        <v>2005.7</v>
      </c>
      <c r="H8" s="88">
        <f t="shared" si="5"/>
        <v>90.040723981900456</v>
      </c>
      <c r="I8" s="88">
        <f t="shared" si="2"/>
        <v>53.015965320363712</v>
      </c>
      <c r="J8" s="48">
        <f t="shared" si="3"/>
        <v>48.065217391304344</v>
      </c>
      <c r="K8" s="88">
        <f t="shared" si="6"/>
        <v>-15.800000000000139</v>
      </c>
      <c r="L8" s="91">
        <f t="shared" si="4"/>
        <v>-0.78775489853917691</v>
      </c>
    </row>
    <row r="9" spans="1:15" x14ac:dyDescent="0.25">
      <c r="A9" s="15" t="s">
        <v>3</v>
      </c>
      <c r="B9" s="15" t="s">
        <v>131</v>
      </c>
      <c r="C9" s="99">
        <v>1260.3</v>
      </c>
      <c r="D9" s="99">
        <v>1500</v>
      </c>
      <c r="E9" s="96">
        <v>90</v>
      </c>
      <c r="F9" s="97">
        <v>52.3</v>
      </c>
      <c r="G9" s="92">
        <v>58.9</v>
      </c>
      <c r="H9" s="92">
        <f t="shared" si="5"/>
        <v>58.111111111111114</v>
      </c>
      <c r="I9" s="92">
        <f t="shared" si="2"/>
        <v>4.6734904387844169</v>
      </c>
      <c r="J9" s="31">
        <f t="shared" si="3"/>
        <v>3.4866666666666664</v>
      </c>
      <c r="K9" s="95">
        <f>F9-G9</f>
        <v>-6.6000000000000014</v>
      </c>
      <c r="L9" s="95">
        <f t="shared" si="4"/>
        <v>-11.205432937181669</v>
      </c>
    </row>
    <row r="10" spans="1:15" x14ac:dyDescent="0.25">
      <c r="A10" s="15" t="s">
        <v>4</v>
      </c>
      <c r="B10" s="15" t="s">
        <v>140</v>
      </c>
      <c r="C10" s="99">
        <v>36.1</v>
      </c>
      <c r="D10" s="99">
        <v>40</v>
      </c>
      <c r="E10" s="96">
        <v>20</v>
      </c>
      <c r="F10" s="97">
        <v>39.299999999999997</v>
      </c>
      <c r="G10" s="92">
        <v>18.399999999999999</v>
      </c>
      <c r="H10" s="92">
        <f t="shared" si="5"/>
        <v>196.5</v>
      </c>
      <c r="I10" s="92">
        <f t="shared" si="2"/>
        <v>50.969529085872566</v>
      </c>
      <c r="J10" s="31">
        <f t="shared" si="3"/>
        <v>98.25</v>
      </c>
      <c r="K10" s="95">
        <f>F10-G10</f>
        <v>20.9</v>
      </c>
      <c r="L10" s="95">
        <f t="shared" si="4"/>
        <v>113.58695652173913</v>
      </c>
    </row>
    <row r="11" spans="1:15" x14ac:dyDescent="0.25">
      <c r="A11" s="15" t="s">
        <v>5</v>
      </c>
      <c r="B11" s="15" t="s">
        <v>132</v>
      </c>
      <c r="C11" s="99">
        <v>2486.8000000000002</v>
      </c>
      <c r="D11" s="99">
        <v>2600</v>
      </c>
      <c r="E11" s="96">
        <v>2100</v>
      </c>
      <c r="F11" s="97">
        <v>1898.3</v>
      </c>
      <c r="G11" s="92">
        <v>1928.4</v>
      </c>
      <c r="H11" s="92">
        <f t="shared" si="5"/>
        <v>90.395238095238099</v>
      </c>
      <c r="I11" s="92">
        <f t="shared" si="2"/>
        <v>77.54543992279234</v>
      </c>
      <c r="J11" s="31">
        <f t="shared" si="3"/>
        <v>73.011538461538464</v>
      </c>
      <c r="K11" s="95">
        <f>F11-G11</f>
        <v>-30.100000000000136</v>
      </c>
      <c r="L11" s="95">
        <f t="shared" si="4"/>
        <v>-1.5608794855839108</v>
      </c>
    </row>
    <row r="12" spans="1:15" ht="15.6" x14ac:dyDescent="0.3">
      <c r="A12" s="87" t="s">
        <v>6</v>
      </c>
      <c r="B12" s="87" t="s">
        <v>179</v>
      </c>
      <c r="C12" s="88">
        <f>(C13)</f>
        <v>275.3</v>
      </c>
      <c r="D12" s="88">
        <f>(D13)</f>
        <v>581</v>
      </c>
      <c r="E12" s="88">
        <f t="shared" ref="E12:G12" si="7">(E13)</f>
        <v>581</v>
      </c>
      <c r="F12" s="90">
        <f t="shared" si="7"/>
        <v>591.79999999999995</v>
      </c>
      <c r="G12" s="88">
        <f t="shared" si="7"/>
        <v>269.89999999999998</v>
      </c>
      <c r="H12" s="88">
        <f t="shared" si="5"/>
        <v>101.85886402753871</v>
      </c>
      <c r="I12" s="88">
        <f t="shared" si="2"/>
        <v>98.038503450780951</v>
      </c>
      <c r="J12" s="48">
        <f t="shared" si="3"/>
        <v>101.85886402753871</v>
      </c>
      <c r="K12" s="88">
        <f t="shared" ref="K12" si="8">(K13)</f>
        <v>321.89999999999998</v>
      </c>
      <c r="L12" s="91">
        <f t="shared" si="4"/>
        <v>119.26639496109672</v>
      </c>
    </row>
    <row r="13" spans="1:15" x14ac:dyDescent="0.25">
      <c r="A13" s="15" t="s">
        <v>7</v>
      </c>
      <c r="B13" s="15" t="s">
        <v>141</v>
      </c>
      <c r="C13" s="92">
        <v>275.3</v>
      </c>
      <c r="D13" s="92">
        <v>581</v>
      </c>
      <c r="E13" s="93">
        <v>581</v>
      </c>
      <c r="F13" s="94">
        <v>591.79999999999995</v>
      </c>
      <c r="G13" s="92">
        <v>269.89999999999998</v>
      </c>
      <c r="H13" s="92">
        <f t="shared" si="5"/>
        <v>101.85886402753871</v>
      </c>
      <c r="I13" s="92">
        <f t="shared" si="2"/>
        <v>98.038503450780951</v>
      </c>
      <c r="J13" s="31">
        <f t="shared" si="3"/>
        <v>101.85886402753871</v>
      </c>
      <c r="K13" s="95">
        <f t="shared" ref="K13:K46" si="9">F13-G13</f>
        <v>321.89999999999998</v>
      </c>
      <c r="L13" s="95">
        <f t="shared" si="4"/>
        <v>119.26639496109672</v>
      </c>
    </row>
    <row r="14" spans="1:15" ht="16.5" customHeight="1" x14ac:dyDescent="0.3">
      <c r="A14" s="87" t="s">
        <v>18</v>
      </c>
      <c r="B14" s="87" t="s">
        <v>180</v>
      </c>
      <c r="C14" s="88">
        <f>SUM(C15+C24+C33+C34)</f>
        <v>12119.7</v>
      </c>
      <c r="D14" s="88">
        <f t="shared" ref="D14" si="10">SUM(D15+D24+D33+D34)</f>
        <v>14386</v>
      </c>
      <c r="E14" s="89">
        <f>SUM(E15+E24+E33+E34)</f>
        <v>7748.2</v>
      </c>
      <c r="F14" s="90">
        <f>SUM(F15+F24+F33+F34)</f>
        <v>7970.5</v>
      </c>
      <c r="G14" s="88">
        <f>SUM(G15+G24+G33+G34)</f>
        <v>5979</v>
      </c>
      <c r="H14" s="88">
        <f t="shared" si="5"/>
        <v>102.86905345757724</v>
      </c>
      <c r="I14" s="88">
        <f t="shared" si="2"/>
        <v>49.332904279808901</v>
      </c>
      <c r="J14" s="48">
        <f t="shared" si="3"/>
        <v>55.404559988878077</v>
      </c>
      <c r="K14" s="91">
        <f t="shared" si="9"/>
        <v>1991.5</v>
      </c>
      <c r="L14" s="91">
        <f t="shared" si="4"/>
        <v>33.308245526007681</v>
      </c>
      <c r="O14" s="98"/>
    </row>
    <row r="15" spans="1:15" ht="16.5" customHeight="1" x14ac:dyDescent="0.3">
      <c r="A15" s="87" t="s">
        <v>20</v>
      </c>
      <c r="B15" s="87" t="s">
        <v>181</v>
      </c>
      <c r="C15" s="88">
        <f>SUM(C16+C17+C18+C19)</f>
        <v>1029.5</v>
      </c>
      <c r="D15" s="88">
        <f t="shared" ref="D15:G15" si="11">SUM(D16+D17+D18+D19)</f>
        <v>980</v>
      </c>
      <c r="E15" s="89">
        <f t="shared" si="11"/>
        <v>566</v>
      </c>
      <c r="F15" s="90">
        <f t="shared" si="11"/>
        <v>547</v>
      </c>
      <c r="G15" s="88">
        <f t="shared" si="11"/>
        <v>580.5</v>
      </c>
      <c r="H15" s="88">
        <f t="shared" si="5"/>
        <v>96.643109540636047</v>
      </c>
      <c r="I15" s="88">
        <f t="shared" si="2"/>
        <v>56.38659543467702</v>
      </c>
      <c r="J15" s="48">
        <f t="shared" si="3"/>
        <v>55.816326530612251</v>
      </c>
      <c r="K15" s="91">
        <f t="shared" si="9"/>
        <v>-33.5</v>
      </c>
      <c r="L15" s="91">
        <f t="shared" si="4"/>
        <v>-5.7708871662360082</v>
      </c>
    </row>
    <row r="16" spans="1:15" ht="16.5" customHeight="1" x14ac:dyDescent="0.25">
      <c r="A16" s="15" t="s">
        <v>21</v>
      </c>
      <c r="B16" s="15" t="s">
        <v>10</v>
      </c>
      <c r="C16" s="92">
        <v>153.5</v>
      </c>
      <c r="D16" s="92">
        <v>100</v>
      </c>
      <c r="E16" s="96">
        <v>50</v>
      </c>
      <c r="F16" s="97">
        <v>78.7</v>
      </c>
      <c r="G16" s="92">
        <v>82.7</v>
      </c>
      <c r="H16" s="92">
        <f t="shared" si="5"/>
        <v>157.4</v>
      </c>
      <c r="I16" s="92">
        <f t="shared" si="2"/>
        <v>53.876221498371336</v>
      </c>
      <c r="J16" s="31">
        <f t="shared" si="3"/>
        <v>78.7</v>
      </c>
      <c r="K16" s="95">
        <f t="shared" si="9"/>
        <v>-4</v>
      </c>
      <c r="L16" s="95">
        <f t="shared" si="4"/>
        <v>-4.8367593712212766</v>
      </c>
    </row>
    <row r="17" spans="1:12" ht="15" customHeight="1" x14ac:dyDescent="0.25">
      <c r="A17" s="15" t="s">
        <v>23</v>
      </c>
      <c r="B17" s="15" t="s">
        <v>166</v>
      </c>
      <c r="C17" s="92">
        <v>148</v>
      </c>
      <c r="D17" s="92">
        <v>150</v>
      </c>
      <c r="E17" s="93">
        <v>150</v>
      </c>
      <c r="F17" s="94">
        <v>119.8</v>
      </c>
      <c r="G17" s="92">
        <v>148</v>
      </c>
      <c r="H17" s="92">
        <f t="shared" si="5"/>
        <v>79.86666666666666</v>
      </c>
      <c r="I17" s="92">
        <f t="shared" si="2"/>
        <v>100</v>
      </c>
      <c r="J17" s="31">
        <f t="shared" si="3"/>
        <v>79.86666666666666</v>
      </c>
      <c r="K17" s="95">
        <f t="shared" si="9"/>
        <v>-28.200000000000003</v>
      </c>
      <c r="L17" s="95">
        <f t="shared" si="4"/>
        <v>-19.054054054054063</v>
      </c>
    </row>
    <row r="18" spans="1:12" ht="28.95" customHeight="1" x14ac:dyDescent="0.25">
      <c r="A18" s="15" t="s">
        <v>25</v>
      </c>
      <c r="B18" s="16" t="s">
        <v>142</v>
      </c>
      <c r="C18" s="99">
        <v>355.9</v>
      </c>
      <c r="D18" s="99">
        <v>360</v>
      </c>
      <c r="E18" s="96">
        <v>26</v>
      </c>
      <c r="F18" s="97">
        <v>28.4</v>
      </c>
      <c r="G18" s="92">
        <v>15.8</v>
      </c>
      <c r="H18" s="92">
        <f t="shared" si="5"/>
        <v>109.23076923076923</v>
      </c>
      <c r="I18" s="92">
        <f t="shared" si="2"/>
        <v>4.4394492835066037</v>
      </c>
      <c r="J18" s="31">
        <f t="shared" si="3"/>
        <v>7.8888888888888884</v>
      </c>
      <c r="K18" s="95">
        <f t="shared" si="9"/>
        <v>12.599999999999998</v>
      </c>
      <c r="L18" s="95">
        <f t="shared" si="4"/>
        <v>79.746835443037952</v>
      </c>
    </row>
    <row r="19" spans="1:12" ht="29.4" customHeight="1" x14ac:dyDescent="0.25">
      <c r="A19" s="15" t="s">
        <v>26</v>
      </c>
      <c r="B19" s="16" t="s">
        <v>182</v>
      </c>
      <c r="C19" s="126">
        <f>SUM(C20:C23)</f>
        <v>372.1</v>
      </c>
      <c r="D19" s="126">
        <f>SUM(D20:D23)</f>
        <v>370</v>
      </c>
      <c r="E19" s="127">
        <f>SUM(E20:E23)</f>
        <v>340</v>
      </c>
      <c r="F19" s="152">
        <f>SUM(F20:F23)</f>
        <v>320.10000000000002</v>
      </c>
      <c r="G19" s="153">
        <f>SUM(G20:G23)</f>
        <v>333.99999999999994</v>
      </c>
      <c r="H19" s="92">
        <f t="shared" si="5"/>
        <v>94.14705882352942</v>
      </c>
      <c r="I19" s="92">
        <f t="shared" si="2"/>
        <v>89.760816984681512</v>
      </c>
      <c r="J19" s="31">
        <f t="shared" si="3"/>
        <v>86.513513513513516</v>
      </c>
      <c r="K19" s="95">
        <f t="shared" si="9"/>
        <v>-13.89999999999992</v>
      </c>
      <c r="L19" s="95">
        <f t="shared" si="4"/>
        <v>-4.1616766467065673</v>
      </c>
    </row>
    <row r="20" spans="1:12" ht="29.4" customHeight="1" x14ac:dyDescent="0.25">
      <c r="A20" s="15" t="s">
        <v>183</v>
      </c>
      <c r="B20" s="16" t="s">
        <v>143</v>
      </c>
      <c r="C20" s="99">
        <v>38.200000000000003</v>
      </c>
      <c r="D20" s="99">
        <v>40</v>
      </c>
      <c r="E20" s="96">
        <v>40</v>
      </c>
      <c r="F20" s="97">
        <v>38.6</v>
      </c>
      <c r="G20" s="92">
        <v>38.200000000000003</v>
      </c>
      <c r="H20" s="92">
        <f t="shared" si="5"/>
        <v>96.500000000000014</v>
      </c>
      <c r="I20" s="92">
        <f t="shared" si="2"/>
        <v>100</v>
      </c>
      <c r="J20" s="31">
        <f t="shared" si="3"/>
        <v>96.500000000000014</v>
      </c>
      <c r="K20" s="95">
        <f t="shared" si="9"/>
        <v>0.39999999999999858</v>
      </c>
      <c r="L20" s="95">
        <f t="shared" si="4"/>
        <v>1.0471204188481522</v>
      </c>
    </row>
    <row r="21" spans="1:12" ht="29.4" customHeight="1" x14ac:dyDescent="0.25">
      <c r="A21" s="15" t="s">
        <v>184</v>
      </c>
      <c r="B21" s="16" t="s">
        <v>133</v>
      </c>
      <c r="C21" s="99">
        <v>268.10000000000002</v>
      </c>
      <c r="D21" s="99">
        <v>270</v>
      </c>
      <c r="E21" s="96">
        <v>270</v>
      </c>
      <c r="F21" s="97">
        <v>223.3</v>
      </c>
      <c r="G21" s="92">
        <v>258.89999999999998</v>
      </c>
      <c r="H21" s="92">
        <f t="shared" si="5"/>
        <v>82.703703703703709</v>
      </c>
      <c r="I21" s="92">
        <f t="shared" si="2"/>
        <v>96.568444610220055</v>
      </c>
      <c r="J21" s="31">
        <f t="shared" si="3"/>
        <v>82.703703703703709</v>
      </c>
      <c r="K21" s="95">
        <f t="shared" si="9"/>
        <v>-35.599999999999966</v>
      </c>
      <c r="L21" s="95">
        <f t="shared" si="4"/>
        <v>-13.750482811896475</v>
      </c>
    </row>
    <row r="22" spans="1:12" ht="15" customHeight="1" x14ac:dyDescent="0.25">
      <c r="A22" s="15" t="s">
        <v>185</v>
      </c>
      <c r="B22" s="15" t="s">
        <v>186</v>
      </c>
      <c r="C22" s="92">
        <v>30.1</v>
      </c>
      <c r="D22" s="92">
        <v>20</v>
      </c>
      <c r="E22" s="93">
        <v>10</v>
      </c>
      <c r="F22" s="94">
        <v>38.700000000000003</v>
      </c>
      <c r="G22" s="92">
        <v>19.2</v>
      </c>
      <c r="H22" s="92">
        <f t="shared" si="5"/>
        <v>387</v>
      </c>
      <c r="I22" s="92">
        <f t="shared" si="2"/>
        <v>63.787375415282391</v>
      </c>
      <c r="J22" s="31">
        <f t="shared" si="3"/>
        <v>193.5</v>
      </c>
      <c r="K22" s="95">
        <f t="shared" si="9"/>
        <v>19.500000000000004</v>
      </c>
      <c r="L22" s="95">
        <f t="shared" si="4"/>
        <v>101.56250000000006</v>
      </c>
    </row>
    <row r="23" spans="1:12" ht="15.6" customHeight="1" x14ac:dyDescent="0.25">
      <c r="A23" s="15" t="s">
        <v>187</v>
      </c>
      <c r="B23" s="15" t="s">
        <v>159</v>
      </c>
      <c r="C23" s="99">
        <v>35.700000000000003</v>
      </c>
      <c r="D23" s="99">
        <v>40</v>
      </c>
      <c r="E23" s="96">
        <v>20</v>
      </c>
      <c r="F23" s="97">
        <v>19.5</v>
      </c>
      <c r="G23" s="92">
        <v>17.7</v>
      </c>
      <c r="H23" s="92">
        <f t="shared" si="5"/>
        <v>97.5</v>
      </c>
      <c r="I23" s="92">
        <f t="shared" si="2"/>
        <v>49.579831932773104</v>
      </c>
      <c r="J23" s="31">
        <f t="shared" si="3"/>
        <v>48.75</v>
      </c>
      <c r="K23" s="95">
        <f t="shared" si="9"/>
        <v>1.8000000000000007</v>
      </c>
      <c r="L23" s="95">
        <f t="shared" si="4"/>
        <v>10.169491525423723</v>
      </c>
    </row>
    <row r="24" spans="1:12" ht="31.2" x14ac:dyDescent="0.3">
      <c r="A24" s="87" t="s">
        <v>28</v>
      </c>
      <c r="B24" s="104" t="s">
        <v>188</v>
      </c>
      <c r="C24" s="88">
        <f>C25+C30+C31</f>
        <v>10099.700000000001</v>
      </c>
      <c r="D24" s="88">
        <f t="shared" ref="D24" si="12">D25+D30+D31</f>
        <v>12516</v>
      </c>
      <c r="E24" s="89">
        <f>E25+E30+E31</f>
        <v>6632.2</v>
      </c>
      <c r="F24" s="90">
        <f>F25+F30+F31</f>
        <v>6943.5</v>
      </c>
      <c r="G24" s="88">
        <f>G25+G30+G31</f>
        <v>5154.8999999999996</v>
      </c>
      <c r="H24" s="88">
        <f t="shared" si="5"/>
        <v>104.69376677422272</v>
      </c>
      <c r="I24" s="88">
        <f t="shared" si="2"/>
        <v>51.040129904848655</v>
      </c>
      <c r="J24" s="48">
        <f t="shared" si="3"/>
        <v>55.476989453499527</v>
      </c>
      <c r="K24" s="91">
        <f t="shared" si="9"/>
        <v>1788.6000000000004</v>
      </c>
      <c r="L24" s="91">
        <f t="shared" si="4"/>
        <v>34.697084327533048</v>
      </c>
    </row>
    <row r="25" spans="1:12" ht="30" x14ac:dyDescent="0.25">
      <c r="A25" s="15" t="s">
        <v>29</v>
      </c>
      <c r="B25" s="16" t="s">
        <v>189</v>
      </c>
      <c r="C25" s="99">
        <f t="shared" ref="C25:G25" si="13">SUM(C26:C29)</f>
        <v>6585.5</v>
      </c>
      <c r="D25" s="99">
        <f>SUM(D26:D29)</f>
        <v>8796</v>
      </c>
      <c r="E25" s="100">
        <f t="shared" si="13"/>
        <v>4302.2</v>
      </c>
      <c r="F25" s="97">
        <f t="shared" si="13"/>
        <v>3846.7999999999997</v>
      </c>
      <c r="G25" s="99">
        <f t="shared" si="13"/>
        <v>2943.3</v>
      </c>
      <c r="H25" s="92">
        <f t="shared" si="5"/>
        <v>89.414718051229599</v>
      </c>
      <c r="I25" s="92">
        <f t="shared" si="2"/>
        <v>44.69364512945107</v>
      </c>
      <c r="J25" s="31">
        <f t="shared" si="3"/>
        <v>43.733515234197363</v>
      </c>
      <c r="K25" s="95">
        <f t="shared" si="9"/>
        <v>903.49999999999955</v>
      </c>
      <c r="L25" s="95">
        <f t="shared" si="4"/>
        <v>30.69683688376989</v>
      </c>
    </row>
    <row r="26" spans="1:12" ht="46.5" customHeight="1" x14ac:dyDescent="0.25">
      <c r="A26" s="101" t="s">
        <v>190</v>
      </c>
      <c r="B26" s="16" t="s">
        <v>135</v>
      </c>
      <c r="C26" s="128">
        <v>291.7</v>
      </c>
      <c r="D26" s="128">
        <v>426.1</v>
      </c>
      <c r="E26" s="96">
        <v>212.2</v>
      </c>
      <c r="F26" s="102">
        <v>206.4</v>
      </c>
      <c r="G26" s="92">
        <v>131</v>
      </c>
      <c r="H26" s="92">
        <f t="shared" si="5"/>
        <v>97.266729500471257</v>
      </c>
      <c r="I26" s="92">
        <f t="shared" si="2"/>
        <v>44.909153239629759</v>
      </c>
      <c r="J26" s="31">
        <f t="shared" si="3"/>
        <v>48.439333489791125</v>
      </c>
      <c r="K26" s="95">
        <f t="shared" si="9"/>
        <v>75.400000000000006</v>
      </c>
      <c r="L26" s="95">
        <f t="shared" si="4"/>
        <v>57.55725190839695</v>
      </c>
    </row>
    <row r="27" spans="1:12" ht="15" customHeight="1" x14ac:dyDescent="0.25">
      <c r="A27" s="101" t="s">
        <v>191</v>
      </c>
      <c r="B27" s="15" t="s">
        <v>134</v>
      </c>
      <c r="C27" s="128">
        <v>2253.5</v>
      </c>
      <c r="D27" s="128">
        <v>3888.4</v>
      </c>
      <c r="E27" s="96">
        <v>1910</v>
      </c>
      <c r="F27" s="102">
        <v>1561.1</v>
      </c>
      <c r="G27" s="92">
        <v>974.9</v>
      </c>
      <c r="H27" s="92">
        <f t="shared" si="5"/>
        <v>81.732984293193709</v>
      </c>
      <c r="I27" s="92">
        <f t="shared" si="2"/>
        <v>43.261593077435101</v>
      </c>
      <c r="J27" s="31">
        <f t="shared" si="3"/>
        <v>40.147618557761547</v>
      </c>
      <c r="K27" s="95">
        <f t="shared" si="9"/>
        <v>586.19999999999993</v>
      </c>
      <c r="L27" s="95">
        <f t="shared" si="4"/>
        <v>60.129244025028186</v>
      </c>
    </row>
    <row r="28" spans="1:12" ht="51" customHeight="1" x14ac:dyDescent="0.25">
      <c r="A28" s="101" t="s">
        <v>192</v>
      </c>
      <c r="B28" s="16" t="s">
        <v>144</v>
      </c>
      <c r="C28" s="128">
        <v>3192.4</v>
      </c>
      <c r="D28" s="128">
        <v>3671.5</v>
      </c>
      <c r="E28" s="96">
        <v>1870</v>
      </c>
      <c r="F28" s="102">
        <v>1776.7</v>
      </c>
      <c r="G28" s="92">
        <v>1572</v>
      </c>
      <c r="H28" s="92">
        <f t="shared" si="5"/>
        <v>95.010695187165766</v>
      </c>
      <c r="I28" s="92">
        <f t="shared" si="2"/>
        <v>49.241949630372133</v>
      </c>
      <c r="J28" s="31">
        <f t="shared" si="3"/>
        <v>48.391665531798992</v>
      </c>
      <c r="K28" s="95">
        <f t="shared" si="9"/>
        <v>204.70000000000005</v>
      </c>
      <c r="L28" s="95">
        <f t="shared" si="4"/>
        <v>13.02162849872775</v>
      </c>
    </row>
    <row r="29" spans="1:12" ht="32.25" customHeight="1" x14ac:dyDescent="0.25">
      <c r="A29" s="15" t="s">
        <v>193</v>
      </c>
      <c r="B29" s="16" t="s">
        <v>169</v>
      </c>
      <c r="C29" s="92">
        <v>847.9</v>
      </c>
      <c r="D29" s="92">
        <v>810</v>
      </c>
      <c r="E29" s="93">
        <v>310</v>
      </c>
      <c r="F29" s="94">
        <v>302.60000000000002</v>
      </c>
      <c r="G29" s="92">
        <v>265.39999999999998</v>
      </c>
      <c r="H29" s="92">
        <f t="shared" si="5"/>
        <v>97.612903225806463</v>
      </c>
      <c r="I29" s="92">
        <f t="shared" si="2"/>
        <v>31.300860950583793</v>
      </c>
      <c r="J29" s="31">
        <f t="shared" si="3"/>
        <v>37.358024691358025</v>
      </c>
      <c r="K29" s="95">
        <f t="shared" si="9"/>
        <v>37.200000000000045</v>
      </c>
      <c r="L29" s="95">
        <f t="shared" si="4"/>
        <v>14.016578749058041</v>
      </c>
    </row>
    <row r="30" spans="1:12" x14ac:dyDescent="0.25">
      <c r="A30" s="15" t="s">
        <v>31</v>
      </c>
      <c r="B30" s="15" t="s">
        <v>194</v>
      </c>
      <c r="C30" s="99">
        <v>169.5</v>
      </c>
      <c r="D30" s="99">
        <v>150</v>
      </c>
      <c r="E30" s="96">
        <v>70</v>
      </c>
      <c r="F30" s="97">
        <v>109.3</v>
      </c>
      <c r="G30" s="92">
        <v>74.900000000000006</v>
      </c>
      <c r="H30" s="92">
        <f t="shared" si="5"/>
        <v>156.14285714285714</v>
      </c>
      <c r="I30" s="92">
        <f t="shared" si="2"/>
        <v>44.188790560471979</v>
      </c>
      <c r="J30" s="31">
        <f t="shared" si="3"/>
        <v>72.866666666666674</v>
      </c>
      <c r="K30" s="95">
        <f t="shared" si="9"/>
        <v>34.399999999999991</v>
      </c>
      <c r="L30" s="95">
        <f t="shared" si="4"/>
        <v>45.927903871829102</v>
      </c>
    </row>
    <row r="31" spans="1:12" ht="16.2" customHeight="1" x14ac:dyDescent="0.25">
      <c r="A31" s="15" t="s">
        <v>33</v>
      </c>
      <c r="B31" s="15" t="s">
        <v>195</v>
      </c>
      <c r="C31" s="99">
        <v>3344.7</v>
      </c>
      <c r="D31" s="99">
        <v>3570</v>
      </c>
      <c r="E31" s="96">
        <v>2260</v>
      </c>
      <c r="F31" s="97">
        <v>2987.4</v>
      </c>
      <c r="G31" s="92">
        <v>2136.6999999999998</v>
      </c>
      <c r="H31" s="92">
        <f t="shared" si="5"/>
        <v>132.18584070796459</v>
      </c>
      <c r="I31" s="92">
        <f t="shared" si="2"/>
        <v>63.883158429754538</v>
      </c>
      <c r="J31" s="31">
        <f t="shared" si="3"/>
        <v>83.680672268907557</v>
      </c>
      <c r="K31" s="95">
        <f t="shared" si="9"/>
        <v>850.70000000000027</v>
      </c>
      <c r="L31" s="95">
        <f t="shared" si="4"/>
        <v>39.813731455047531</v>
      </c>
    </row>
    <row r="32" spans="1:12" ht="30.6" customHeight="1" x14ac:dyDescent="0.25">
      <c r="A32" s="15" t="s">
        <v>196</v>
      </c>
      <c r="B32" s="16" t="s">
        <v>197</v>
      </c>
      <c r="C32" s="128">
        <v>3195</v>
      </c>
      <c r="D32" s="128">
        <v>3430</v>
      </c>
      <c r="E32" s="96">
        <v>2200</v>
      </c>
      <c r="F32" s="102">
        <v>2935</v>
      </c>
      <c r="G32" s="92">
        <v>2119.6</v>
      </c>
      <c r="H32" s="92">
        <f t="shared" si="5"/>
        <v>133.40909090909091</v>
      </c>
      <c r="I32" s="92">
        <f t="shared" si="2"/>
        <v>66.341158059467915</v>
      </c>
      <c r="J32" s="31">
        <f t="shared" si="3"/>
        <v>85.568513119533534</v>
      </c>
      <c r="K32" s="95">
        <f t="shared" si="9"/>
        <v>815.40000000000009</v>
      </c>
      <c r="L32" s="95">
        <f t="shared" si="4"/>
        <v>38.469522551424802</v>
      </c>
    </row>
    <row r="33" spans="1:12" ht="48" customHeight="1" x14ac:dyDescent="0.3">
      <c r="A33" s="103" t="s">
        <v>34</v>
      </c>
      <c r="B33" s="104" t="s">
        <v>145</v>
      </c>
      <c r="C33" s="129">
        <v>274.2</v>
      </c>
      <c r="D33" s="129">
        <v>200</v>
      </c>
      <c r="E33" s="105">
        <v>100</v>
      </c>
      <c r="F33" s="106">
        <v>97.2</v>
      </c>
      <c r="G33" s="88">
        <v>132.6</v>
      </c>
      <c r="H33" s="88">
        <f t="shared" si="5"/>
        <v>97.2</v>
      </c>
      <c r="I33" s="88">
        <f t="shared" si="2"/>
        <v>48.358862144420137</v>
      </c>
      <c r="J33" s="48">
        <f t="shared" si="3"/>
        <v>48.6</v>
      </c>
      <c r="K33" s="91">
        <f t="shared" si="9"/>
        <v>-35.399999999999991</v>
      </c>
      <c r="L33" s="91">
        <f>(F33/G33*100)-100</f>
        <v>-26.696832579185511</v>
      </c>
    </row>
    <row r="34" spans="1:12" ht="15" customHeight="1" x14ac:dyDescent="0.3">
      <c r="A34" s="87" t="s">
        <v>36</v>
      </c>
      <c r="B34" s="87" t="s">
        <v>146</v>
      </c>
      <c r="C34" s="130">
        <v>716.3</v>
      </c>
      <c r="D34" s="130">
        <v>690</v>
      </c>
      <c r="E34" s="105">
        <v>450</v>
      </c>
      <c r="F34" s="106">
        <v>382.8</v>
      </c>
      <c r="G34" s="88">
        <v>111</v>
      </c>
      <c r="H34" s="88">
        <f t="shared" si="5"/>
        <v>85.066666666666663</v>
      </c>
      <c r="I34" s="88">
        <f t="shared" si="2"/>
        <v>15.496300432779563</v>
      </c>
      <c r="J34" s="48">
        <f t="shared" si="3"/>
        <v>55.478260869565219</v>
      </c>
      <c r="K34" s="91">
        <f>F34-G34</f>
        <v>271.8</v>
      </c>
      <c r="L34" s="91">
        <f>(F34/G34*100)-100</f>
        <v>244.8648648648649</v>
      </c>
    </row>
    <row r="35" spans="1:12" ht="32.4" customHeight="1" x14ac:dyDescent="0.3">
      <c r="A35" s="107" t="s">
        <v>38</v>
      </c>
      <c r="B35" s="131" t="s">
        <v>198</v>
      </c>
      <c r="C35" s="129">
        <v>521.6</v>
      </c>
      <c r="D35" s="129">
        <v>312</v>
      </c>
      <c r="E35" s="108">
        <v>162</v>
      </c>
      <c r="F35" s="106">
        <v>94.1</v>
      </c>
      <c r="G35" s="132">
        <v>407.8</v>
      </c>
      <c r="H35" s="88">
        <f t="shared" si="5"/>
        <v>58.086419753086417</v>
      </c>
      <c r="I35" s="88">
        <f t="shared" si="2"/>
        <v>78.182515337423311</v>
      </c>
      <c r="J35" s="48">
        <f t="shared" si="3"/>
        <v>30.160256410256409</v>
      </c>
      <c r="K35" s="91">
        <f t="shared" si="9"/>
        <v>-313.70000000000005</v>
      </c>
      <c r="L35" s="91">
        <f t="shared" ref="L35:L43" si="14">(F35/G35*100)-100</f>
        <v>-76.924963217263368</v>
      </c>
    </row>
    <row r="36" spans="1:12" ht="15" customHeight="1" x14ac:dyDescent="0.25">
      <c r="A36" s="15" t="s">
        <v>235</v>
      </c>
      <c r="B36" s="17" t="s">
        <v>160</v>
      </c>
      <c r="C36" s="128">
        <v>340.8</v>
      </c>
      <c r="D36" s="128">
        <v>200</v>
      </c>
      <c r="E36" s="96">
        <v>100</v>
      </c>
      <c r="F36" s="97">
        <v>83.1</v>
      </c>
      <c r="G36" s="92">
        <v>251</v>
      </c>
      <c r="H36" s="92">
        <f t="shared" si="5"/>
        <v>83.1</v>
      </c>
      <c r="I36" s="92">
        <f t="shared" si="2"/>
        <v>73.650234741784033</v>
      </c>
      <c r="J36" s="31">
        <f t="shared" si="3"/>
        <v>41.55</v>
      </c>
      <c r="K36" s="95">
        <f t="shared" si="9"/>
        <v>-167.9</v>
      </c>
      <c r="L36" s="95">
        <f t="shared" si="14"/>
        <v>-66.892430278884461</v>
      </c>
    </row>
    <row r="37" spans="1:12" ht="63.75" customHeight="1" x14ac:dyDescent="0.3">
      <c r="A37" s="87" t="s">
        <v>40</v>
      </c>
      <c r="B37" s="109" t="s">
        <v>199</v>
      </c>
      <c r="C37" s="133">
        <f>C6+C14+C35</f>
        <v>107413.2</v>
      </c>
      <c r="D37" s="133">
        <f t="shared" ref="D37" si="15">D6+D14+D35</f>
        <v>119669</v>
      </c>
      <c r="E37" s="134">
        <f>E6+E14+E35</f>
        <v>57103.199999999997</v>
      </c>
      <c r="F37" s="135">
        <f>F6+F14+F35</f>
        <v>55660.200000000004</v>
      </c>
      <c r="G37" s="133">
        <f>G6+G14+G35</f>
        <v>49804</v>
      </c>
      <c r="H37" s="88">
        <f t="shared" si="5"/>
        <v>97.472996259404042</v>
      </c>
      <c r="I37" s="88">
        <f t="shared" si="2"/>
        <v>46.366740773014861</v>
      </c>
      <c r="J37" s="48">
        <f t="shared" si="3"/>
        <v>46.51179503463721</v>
      </c>
      <c r="K37" s="91">
        <f t="shared" si="9"/>
        <v>5856.2000000000044</v>
      </c>
      <c r="L37" s="91">
        <f t="shared" si="14"/>
        <v>11.758493293711354</v>
      </c>
    </row>
    <row r="38" spans="1:12" ht="17.399999999999999" customHeight="1" x14ac:dyDescent="0.3">
      <c r="A38" s="87" t="s">
        <v>41</v>
      </c>
      <c r="B38" s="87" t="s">
        <v>200</v>
      </c>
      <c r="C38" s="88">
        <f>C39+C45</f>
        <v>53895.199999999997</v>
      </c>
      <c r="D38" s="154">
        <f>D39+D45</f>
        <v>75237.799999999988</v>
      </c>
      <c r="E38" s="89">
        <f>E39+E45</f>
        <v>44548.2</v>
      </c>
      <c r="F38" s="90">
        <f t="shared" ref="F38:G38" si="16">F39+F45</f>
        <v>37426.600000000006</v>
      </c>
      <c r="G38" s="88">
        <f t="shared" si="16"/>
        <v>28345.5</v>
      </c>
      <c r="H38" s="88">
        <f t="shared" si="5"/>
        <v>84.013719970728346</v>
      </c>
      <c r="I38" s="88">
        <f t="shared" si="2"/>
        <v>52.593737475693572</v>
      </c>
      <c r="J38" s="48">
        <f t="shared" si="3"/>
        <v>49.744410389458501</v>
      </c>
      <c r="K38" s="91">
        <f t="shared" si="9"/>
        <v>9081.1000000000058</v>
      </c>
      <c r="L38" s="91">
        <f t="shared" si="14"/>
        <v>32.037184032738907</v>
      </c>
    </row>
    <row r="39" spans="1:12" ht="30.6" customHeight="1" x14ac:dyDescent="0.3">
      <c r="A39" s="136" t="s">
        <v>42</v>
      </c>
      <c r="B39" s="104" t="s">
        <v>201</v>
      </c>
      <c r="C39" s="88">
        <f>C40+C41+C42+C43+C44</f>
        <v>49289.7</v>
      </c>
      <c r="D39" s="88">
        <f>D40+D41+D42+D43+D44</f>
        <v>56071.199999999997</v>
      </c>
      <c r="E39" s="89">
        <f t="shared" ref="E39:G39" si="17">E40+E41+E42+E43+E44</f>
        <v>34943.4</v>
      </c>
      <c r="F39" s="90">
        <f t="shared" si="17"/>
        <v>33185.700000000004</v>
      </c>
      <c r="G39" s="88">
        <f t="shared" si="17"/>
        <v>28022.400000000001</v>
      </c>
      <c r="H39" s="88">
        <f t="shared" si="5"/>
        <v>94.969865554010212</v>
      </c>
      <c r="I39" s="88">
        <f t="shared" si="2"/>
        <v>56.852445845683789</v>
      </c>
      <c r="J39" s="48">
        <f t="shared" si="3"/>
        <v>59.184929161494679</v>
      </c>
      <c r="K39" s="91">
        <f t="shared" si="9"/>
        <v>5163.3000000000029</v>
      </c>
      <c r="L39" s="91">
        <f t="shared" si="14"/>
        <v>18.425616649537517</v>
      </c>
    </row>
    <row r="40" spans="1:12" ht="45" x14ac:dyDescent="0.25">
      <c r="A40" s="15" t="s">
        <v>43</v>
      </c>
      <c r="B40" s="155" t="s">
        <v>202</v>
      </c>
      <c r="C40" s="128">
        <v>7767.3</v>
      </c>
      <c r="D40" s="128">
        <v>8272.1</v>
      </c>
      <c r="E40" s="96">
        <v>4783.8999999999996</v>
      </c>
      <c r="F40" s="102">
        <v>4800.3</v>
      </c>
      <c r="G40" s="92">
        <v>4569.5</v>
      </c>
      <c r="H40" s="92">
        <f t="shared" si="5"/>
        <v>100.34281653044587</v>
      </c>
      <c r="I40" s="92">
        <f t="shared" si="2"/>
        <v>58.829966655079623</v>
      </c>
      <c r="J40" s="31">
        <f t="shared" si="3"/>
        <v>58.030004472866622</v>
      </c>
      <c r="K40" s="95">
        <f t="shared" si="9"/>
        <v>230.80000000000018</v>
      </c>
      <c r="L40" s="95">
        <f t="shared" si="14"/>
        <v>5.0508808403545231</v>
      </c>
    </row>
    <row r="41" spans="1:12" ht="16.5" customHeight="1" x14ac:dyDescent="0.25">
      <c r="A41" s="15" t="s">
        <v>44</v>
      </c>
      <c r="B41" s="15" t="s">
        <v>203</v>
      </c>
      <c r="C41" s="99">
        <v>32462.6</v>
      </c>
      <c r="D41" s="99">
        <v>38419.599999999999</v>
      </c>
      <c r="E41" s="96">
        <v>25614.2</v>
      </c>
      <c r="F41" s="97">
        <v>25614.2</v>
      </c>
      <c r="G41" s="92">
        <v>20649.2</v>
      </c>
      <c r="H41" s="92">
        <f t="shared" si="5"/>
        <v>100</v>
      </c>
      <c r="I41" s="92">
        <f t="shared" si="2"/>
        <v>63.609199509589502</v>
      </c>
      <c r="J41" s="31">
        <f t="shared" si="3"/>
        <v>66.669616549886001</v>
      </c>
      <c r="K41" s="95">
        <f t="shared" si="9"/>
        <v>4965</v>
      </c>
      <c r="L41" s="95">
        <f t="shared" si="14"/>
        <v>24.044515041744958</v>
      </c>
    </row>
    <row r="42" spans="1:12" ht="30.6" customHeight="1" x14ac:dyDescent="0.25">
      <c r="A42" s="101" t="s">
        <v>46</v>
      </c>
      <c r="B42" s="16" t="s">
        <v>204</v>
      </c>
      <c r="C42" s="126">
        <v>360.2</v>
      </c>
      <c r="D42" s="126">
        <v>295.10000000000002</v>
      </c>
      <c r="E42" s="96">
        <v>147.4</v>
      </c>
      <c r="F42" s="102">
        <v>147.4</v>
      </c>
      <c r="G42" s="92">
        <v>180</v>
      </c>
      <c r="H42" s="92">
        <f t="shared" si="5"/>
        <v>100</v>
      </c>
      <c r="I42" s="92">
        <f t="shared" si="2"/>
        <v>49.972237645752358</v>
      </c>
      <c r="J42" s="31">
        <f t="shared" si="3"/>
        <v>49.949169772958321</v>
      </c>
      <c r="K42" s="95">
        <f t="shared" si="9"/>
        <v>-32.599999999999994</v>
      </c>
      <c r="L42" s="95">
        <f t="shared" si="14"/>
        <v>-18.111111111111114</v>
      </c>
    </row>
    <row r="43" spans="1:12" ht="45" customHeight="1" x14ac:dyDescent="0.25">
      <c r="A43" s="15" t="s">
        <v>47</v>
      </c>
      <c r="B43" s="137" t="s">
        <v>205</v>
      </c>
      <c r="C43" s="138">
        <v>127.4</v>
      </c>
      <c r="D43" s="138">
        <v>147.80000000000001</v>
      </c>
      <c r="E43" s="96">
        <v>74</v>
      </c>
      <c r="F43" s="102">
        <v>74</v>
      </c>
      <c r="G43" s="92">
        <v>64</v>
      </c>
      <c r="H43" s="92">
        <f t="shared" si="5"/>
        <v>100</v>
      </c>
      <c r="I43" s="92">
        <f t="shared" si="2"/>
        <v>50.235478806907373</v>
      </c>
      <c r="J43" s="31">
        <f t="shared" si="3"/>
        <v>50.067658998646813</v>
      </c>
      <c r="K43" s="95">
        <f t="shared" si="9"/>
        <v>10</v>
      </c>
      <c r="L43" s="95">
        <f t="shared" si="14"/>
        <v>15.625</v>
      </c>
    </row>
    <row r="44" spans="1:12" ht="16.5" customHeight="1" x14ac:dyDescent="0.25">
      <c r="A44" s="15" t="s">
        <v>49</v>
      </c>
      <c r="B44" s="15" t="s">
        <v>206</v>
      </c>
      <c r="C44" s="99">
        <v>8572.2000000000007</v>
      </c>
      <c r="D44" s="99">
        <v>8936.6</v>
      </c>
      <c r="E44" s="96">
        <v>4323.8999999999996</v>
      </c>
      <c r="F44" s="97">
        <v>2549.8000000000002</v>
      </c>
      <c r="G44" s="92">
        <v>2559.6999999999998</v>
      </c>
      <c r="H44" s="92">
        <f t="shared" si="5"/>
        <v>58.969911422558354</v>
      </c>
      <c r="I44" s="92">
        <f t="shared" si="2"/>
        <v>29.860479223536547</v>
      </c>
      <c r="J44" s="31">
        <f t="shared" si="3"/>
        <v>28.532103932144214</v>
      </c>
      <c r="K44" s="95">
        <f t="shared" si="9"/>
        <v>-9.8999999999996362</v>
      </c>
      <c r="L44" s="95">
        <f>(F44/G44*100)-100</f>
        <v>-0.38676407391490386</v>
      </c>
    </row>
    <row r="45" spans="1:12" ht="78" customHeight="1" x14ac:dyDescent="0.3">
      <c r="A45" s="103" t="s">
        <v>50</v>
      </c>
      <c r="B45" s="104" t="s">
        <v>207</v>
      </c>
      <c r="C45" s="88">
        <v>4605.5</v>
      </c>
      <c r="D45" s="88">
        <v>19166.599999999999</v>
      </c>
      <c r="E45" s="89">
        <v>9604.7999999999993</v>
      </c>
      <c r="F45" s="90">
        <v>4240.8999999999996</v>
      </c>
      <c r="G45" s="88">
        <v>323.10000000000002</v>
      </c>
      <c r="H45" s="88">
        <f t="shared" si="5"/>
        <v>44.153964684324507</v>
      </c>
      <c r="I45" s="88">
        <f t="shared" si="2"/>
        <v>7.0155249158614712</v>
      </c>
      <c r="J45" s="48">
        <f t="shared" si="3"/>
        <v>22.126511744388676</v>
      </c>
      <c r="K45" s="91">
        <f>F45-G45</f>
        <v>3917.7999999999997</v>
      </c>
      <c r="L45" s="91" t="s">
        <v>356</v>
      </c>
    </row>
    <row r="46" spans="1:12" ht="15.6" x14ac:dyDescent="0.3">
      <c r="A46" s="18" t="s">
        <v>52</v>
      </c>
      <c r="B46" s="18" t="s">
        <v>208</v>
      </c>
      <c r="C46" s="110">
        <f>C37+C38</f>
        <v>161308.4</v>
      </c>
      <c r="D46" s="110">
        <f t="shared" ref="D46:G46" si="18">D37+D38</f>
        <v>194906.8</v>
      </c>
      <c r="E46" s="111">
        <f t="shared" si="18"/>
        <v>101651.4</v>
      </c>
      <c r="F46" s="112">
        <f t="shared" si="18"/>
        <v>93086.800000000017</v>
      </c>
      <c r="G46" s="110">
        <f t="shared" si="18"/>
        <v>78149.5</v>
      </c>
      <c r="H46" s="88">
        <f>F46/E46*100</f>
        <v>91.574538078177</v>
      </c>
      <c r="I46" s="88">
        <f t="shared" si="2"/>
        <v>48.447260031095716</v>
      </c>
      <c r="J46" s="48">
        <f t="shared" si="3"/>
        <v>47.759647174957479</v>
      </c>
      <c r="K46" s="91">
        <f t="shared" si="9"/>
        <v>14937.300000000017</v>
      </c>
      <c r="L46" s="91">
        <f>(F46/G46*100)-100</f>
        <v>19.1137499280226</v>
      </c>
    </row>
    <row r="48" spans="1:12" x14ac:dyDescent="0.25">
      <c r="E48" s="19"/>
      <c r="F48" s="19"/>
      <c r="G48" s="19"/>
    </row>
    <row r="50" spans="1:1" x14ac:dyDescent="0.25">
      <c r="A50" s="156"/>
    </row>
  </sheetData>
  <mergeCells count="11">
    <mergeCell ref="K1:L1"/>
    <mergeCell ref="A2:L2"/>
    <mergeCell ref="K3:L3"/>
    <mergeCell ref="A4:A5"/>
    <mergeCell ref="B4:B5"/>
    <mergeCell ref="C4:C5"/>
    <mergeCell ref="D4:D5"/>
    <mergeCell ref="E4:F4"/>
    <mergeCell ref="G4:G5"/>
    <mergeCell ref="H4:J4"/>
    <mergeCell ref="K4:L4"/>
  </mergeCells>
  <phoneticPr fontId="0" type="noConversion"/>
  <pageMargins left="0" right="0" top="0.27559055118110237" bottom="0" header="0.51181102362204722" footer="0"/>
  <pageSetup paperSize="9" orientation="landscape" r:id="rId1"/>
  <headerFooter differentFirst="1"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2598-F09C-4DD2-B596-C5043BD9009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zoomScaleNormal="100" workbookViewId="0"/>
  </sheetViews>
  <sheetFormatPr defaultRowHeight="13.2" x14ac:dyDescent="0.25"/>
  <cols>
    <col min="1" max="1" width="5.109375" customWidth="1"/>
    <col min="4" max="4" width="7.44140625" customWidth="1"/>
    <col min="5" max="5" width="19.44140625" customWidth="1"/>
    <col min="6" max="6" width="12.6640625" customWidth="1"/>
    <col min="7" max="7" width="10.44140625" customWidth="1"/>
    <col min="8" max="8" width="9.5546875" customWidth="1"/>
    <col min="9" max="9" width="8.6640625" customWidth="1"/>
    <col min="10" max="10" width="10.6640625" customWidth="1"/>
  </cols>
  <sheetData>
    <row r="1" spans="1:11" ht="15" x14ac:dyDescent="0.25">
      <c r="A1" s="9"/>
      <c r="B1" s="9"/>
      <c r="C1" s="9"/>
      <c r="D1" s="9"/>
      <c r="E1" s="9"/>
      <c r="F1" s="9"/>
      <c r="G1" s="9"/>
      <c r="H1" s="9"/>
      <c r="I1" s="9"/>
      <c r="J1" s="10" t="s">
        <v>100</v>
      </c>
    </row>
    <row r="2" spans="1:11" ht="15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ht="15.6" x14ac:dyDescent="0.3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1" ht="15.6" x14ac:dyDescent="0.3">
      <c r="A4" s="172" t="s">
        <v>209</v>
      </c>
      <c r="B4" s="172"/>
      <c r="C4" s="172"/>
      <c r="D4" s="172"/>
      <c r="E4" s="172"/>
      <c r="F4" s="172"/>
      <c r="G4" s="172"/>
      <c r="H4" s="172"/>
      <c r="I4" s="172"/>
      <c r="J4" s="172"/>
    </row>
    <row r="5" spans="1:11" ht="15" x14ac:dyDescent="0.25">
      <c r="A5" s="9"/>
      <c r="B5" s="9"/>
      <c r="C5" s="9"/>
      <c r="D5" s="9"/>
      <c r="E5" s="9"/>
      <c r="F5" s="9"/>
      <c r="G5" s="9"/>
      <c r="H5" s="9"/>
      <c r="I5" s="178" t="s">
        <v>9</v>
      </c>
      <c r="J5" s="178"/>
    </row>
    <row r="6" spans="1:11" ht="15.75" customHeight="1" x14ac:dyDescent="0.25">
      <c r="A6" s="200" t="s">
        <v>210</v>
      </c>
      <c r="B6" s="194" t="s">
        <v>11</v>
      </c>
      <c r="C6" s="195"/>
      <c r="D6" s="195"/>
      <c r="E6" s="196"/>
      <c r="F6" s="200" t="s">
        <v>12</v>
      </c>
      <c r="G6" s="200" t="s">
        <v>352</v>
      </c>
      <c r="H6" s="202" t="s">
        <v>13</v>
      </c>
      <c r="I6" s="204" t="s">
        <v>8</v>
      </c>
      <c r="J6" s="205"/>
    </row>
    <row r="7" spans="1:11" ht="30.75" customHeight="1" x14ac:dyDescent="0.25">
      <c r="A7" s="201"/>
      <c r="B7" s="197"/>
      <c r="C7" s="198"/>
      <c r="D7" s="198"/>
      <c r="E7" s="199"/>
      <c r="F7" s="201"/>
      <c r="G7" s="201"/>
      <c r="H7" s="203"/>
      <c r="I7" s="21" t="s">
        <v>147</v>
      </c>
      <c r="J7" s="13" t="s">
        <v>359</v>
      </c>
    </row>
    <row r="8" spans="1:11" ht="15" x14ac:dyDescent="0.25">
      <c r="A8" s="22" t="s">
        <v>0</v>
      </c>
      <c r="B8" s="185" t="s">
        <v>14</v>
      </c>
      <c r="C8" s="186"/>
      <c r="D8" s="186"/>
      <c r="E8" s="187"/>
      <c r="F8" s="22">
        <v>156</v>
      </c>
      <c r="G8" s="22">
        <f>46.4+42</f>
        <v>88.4</v>
      </c>
      <c r="H8" s="78">
        <v>81.599999999999994</v>
      </c>
      <c r="I8" s="24">
        <f t="shared" ref="I8:I48" si="0">SUM(H8/F8*100)</f>
        <v>52.307692307692299</v>
      </c>
      <c r="J8" s="24">
        <f t="shared" ref="J8:J48" si="1">SUM(H8/G8*100)</f>
        <v>92.307692307692292</v>
      </c>
    </row>
    <row r="9" spans="1:11" ht="15" x14ac:dyDescent="0.25">
      <c r="A9" s="22" t="s">
        <v>1</v>
      </c>
      <c r="B9" s="185" t="s">
        <v>15</v>
      </c>
      <c r="C9" s="186"/>
      <c r="D9" s="186"/>
      <c r="E9" s="187"/>
      <c r="F9" s="22">
        <v>107.8</v>
      </c>
      <c r="G9" s="22">
        <f>29.4+29.5</f>
        <v>58.9</v>
      </c>
      <c r="H9" s="78">
        <v>63.8</v>
      </c>
      <c r="I9" s="24">
        <f t="shared" si="0"/>
        <v>59.183673469387756</v>
      </c>
      <c r="J9" s="24">
        <f t="shared" si="1"/>
        <v>108.31918505942275</v>
      </c>
    </row>
    <row r="10" spans="1:11" ht="15" x14ac:dyDescent="0.25">
      <c r="A10" s="22" t="s">
        <v>2</v>
      </c>
      <c r="B10" s="185" t="s">
        <v>170</v>
      </c>
      <c r="C10" s="186"/>
      <c r="D10" s="186"/>
      <c r="E10" s="187"/>
      <c r="F10" s="22">
        <v>96.2</v>
      </c>
      <c r="G10" s="22">
        <f>25.3+25.3</f>
        <v>50.6</v>
      </c>
      <c r="H10" s="78">
        <v>45.9</v>
      </c>
      <c r="I10" s="24">
        <f t="shared" si="0"/>
        <v>47.71309771309771</v>
      </c>
      <c r="J10" s="24">
        <f t="shared" si="1"/>
        <v>90.71146245059289</v>
      </c>
    </row>
    <row r="11" spans="1:11" ht="15" x14ac:dyDescent="0.25">
      <c r="A11" s="22" t="s">
        <v>3</v>
      </c>
      <c r="B11" s="185" t="s">
        <v>16</v>
      </c>
      <c r="C11" s="186"/>
      <c r="D11" s="186"/>
      <c r="E11" s="187"/>
      <c r="F11" s="22">
        <v>48.4</v>
      </c>
      <c r="G11" s="22">
        <f>13.2+13.2</f>
        <v>26.4</v>
      </c>
      <c r="H11" s="78">
        <v>25.1</v>
      </c>
      <c r="I11" s="24">
        <f t="shared" si="0"/>
        <v>51.859504132231407</v>
      </c>
      <c r="J11" s="24">
        <f t="shared" si="1"/>
        <v>95.075757575757592</v>
      </c>
    </row>
    <row r="12" spans="1:11" ht="15" x14ac:dyDescent="0.25">
      <c r="A12" s="22" t="s">
        <v>4</v>
      </c>
      <c r="B12" s="185" t="s">
        <v>171</v>
      </c>
      <c r="C12" s="186"/>
      <c r="D12" s="186"/>
      <c r="E12" s="187"/>
      <c r="F12" s="22">
        <v>172.5</v>
      </c>
      <c r="G12" s="22">
        <f>47.5+47.5</f>
        <v>95</v>
      </c>
      <c r="H12" s="78">
        <v>105.6</v>
      </c>
      <c r="I12" s="24">
        <f t="shared" si="0"/>
        <v>61.217391304347821</v>
      </c>
      <c r="J12" s="24">
        <f t="shared" si="1"/>
        <v>111.1578947368421</v>
      </c>
    </row>
    <row r="13" spans="1:11" ht="15" x14ac:dyDescent="0.25">
      <c r="A13" s="22" t="s">
        <v>5</v>
      </c>
      <c r="B13" s="25" t="s">
        <v>17</v>
      </c>
      <c r="C13" s="9"/>
      <c r="D13" s="9"/>
      <c r="E13" s="26"/>
      <c r="F13" s="22">
        <v>225</v>
      </c>
      <c r="G13" s="22">
        <f>59+59</f>
        <v>118</v>
      </c>
      <c r="H13" s="78">
        <v>120</v>
      </c>
      <c r="I13" s="24">
        <f t="shared" si="0"/>
        <v>53.333333333333336</v>
      </c>
      <c r="J13" s="24">
        <f t="shared" si="1"/>
        <v>101.69491525423729</v>
      </c>
      <c r="K13" s="3"/>
    </row>
    <row r="14" spans="1:11" ht="15" x14ac:dyDescent="0.25">
      <c r="A14" s="22" t="s">
        <v>6</v>
      </c>
      <c r="B14" s="185" t="s">
        <v>172</v>
      </c>
      <c r="C14" s="186"/>
      <c r="D14" s="186"/>
      <c r="E14" s="187"/>
      <c r="F14" s="22">
        <v>53.5</v>
      </c>
      <c r="G14" s="22">
        <f>14.4+14.4</f>
        <v>28.8</v>
      </c>
      <c r="H14" s="78">
        <v>23.4</v>
      </c>
      <c r="I14" s="24">
        <f t="shared" si="0"/>
        <v>43.738317757009341</v>
      </c>
      <c r="J14" s="24">
        <f t="shared" si="1"/>
        <v>81.249999999999986</v>
      </c>
    </row>
    <row r="15" spans="1:11" ht="15" x14ac:dyDescent="0.25">
      <c r="A15" s="22" t="s">
        <v>7</v>
      </c>
      <c r="B15" s="185" t="s">
        <v>211</v>
      </c>
      <c r="C15" s="186"/>
      <c r="D15" s="186"/>
      <c r="E15" s="187"/>
      <c r="F15" s="22">
        <v>22.1</v>
      </c>
      <c r="G15" s="22">
        <f>5.7+5.7</f>
        <v>11.4</v>
      </c>
      <c r="H15" s="78">
        <v>5.0999999999999996</v>
      </c>
      <c r="I15" s="24">
        <f t="shared" si="0"/>
        <v>23.076923076923073</v>
      </c>
      <c r="J15" s="24">
        <f t="shared" si="1"/>
        <v>44.73684210526315</v>
      </c>
    </row>
    <row r="16" spans="1:11" ht="15" x14ac:dyDescent="0.25">
      <c r="A16" s="22" t="s">
        <v>18</v>
      </c>
      <c r="B16" s="185" t="s">
        <v>19</v>
      </c>
      <c r="C16" s="186"/>
      <c r="D16" s="186"/>
      <c r="E16" s="187"/>
      <c r="F16" s="22">
        <v>128.4</v>
      </c>
      <c r="G16" s="22">
        <f>34+34.5</f>
        <v>68.5</v>
      </c>
      <c r="H16" s="78">
        <v>68.099999999999994</v>
      </c>
      <c r="I16" s="24">
        <f t="shared" si="0"/>
        <v>53.037383177570085</v>
      </c>
      <c r="J16" s="24">
        <f t="shared" si="1"/>
        <v>99.416058394160572</v>
      </c>
    </row>
    <row r="17" spans="1:11" ht="15" x14ac:dyDescent="0.25">
      <c r="A17" s="22" t="s">
        <v>20</v>
      </c>
      <c r="B17" s="185" t="s">
        <v>22</v>
      </c>
      <c r="C17" s="186"/>
      <c r="D17" s="186"/>
      <c r="E17" s="187"/>
      <c r="F17" s="22">
        <v>71.5</v>
      </c>
      <c r="G17" s="22">
        <f>18.9+18.9</f>
        <v>37.799999999999997</v>
      </c>
      <c r="H17" s="78">
        <v>30.4</v>
      </c>
      <c r="I17" s="24">
        <f t="shared" si="0"/>
        <v>42.517482517482513</v>
      </c>
      <c r="J17" s="24">
        <f t="shared" si="1"/>
        <v>80.423280423280431</v>
      </c>
    </row>
    <row r="18" spans="1:11" ht="15" x14ac:dyDescent="0.25">
      <c r="A18" s="22" t="s">
        <v>21</v>
      </c>
      <c r="B18" s="185" t="s">
        <v>24</v>
      </c>
      <c r="C18" s="186"/>
      <c r="D18" s="186"/>
      <c r="E18" s="187"/>
      <c r="F18" s="22">
        <v>147.80000000000001</v>
      </c>
      <c r="G18" s="22">
        <f>38.4+38.4</f>
        <v>76.8</v>
      </c>
      <c r="H18" s="78">
        <v>76</v>
      </c>
      <c r="I18" s="24">
        <f t="shared" si="0"/>
        <v>51.420838971583215</v>
      </c>
      <c r="J18" s="24">
        <f t="shared" si="1"/>
        <v>98.958333333333343</v>
      </c>
    </row>
    <row r="19" spans="1:11" ht="15" x14ac:dyDescent="0.25">
      <c r="A19" s="22" t="s">
        <v>23</v>
      </c>
      <c r="B19" s="185" t="s">
        <v>27</v>
      </c>
      <c r="C19" s="186"/>
      <c r="D19" s="186"/>
      <c r="E19" s="187"/>
      <c r="F19" s="22">
        <v>132.1</v>
      </c>
      <c r="G19" s="22">
        <f>34.3+34.6</f>
        <v>68.900000000000006</v>
      </c>
      <c r="H19" s="78">
        <v>64</v>
      </c>
      <c r="I19" s="24">
        <f t="shared" si="0"/>
        <v>48.448145344436035</v>
      </c>
      <c r="J19" s="24">
        <f t="shared" si="1"/>
        <v>92.888243831640054</v>
      </c>
    </row>
    <row r="20" spans="1:11" ht="15" x14ac:dyDescent="0.25">
      <c r="A20" s="22" t="s">
        <v>25</v>
      </c>
      <c r="B20" s="185" t="s">
        <v>30</v>
      </c>
      <c r="C20" s="186"/>
      <c r="D20" s="186"/>
      <c r="E20" s="187"/>
      <c r="F20" s="22">
        <v>120.9</v>
      </c>
      <c r="G20" s="22">
        <f>32.6+32.6</f>
        <v>65.2</v>
      </c>
      <c r="H20" s="78">
        <v>60.8</v>
      </c>
      <c r="I20" s="24">
        <f t="shared" si="0"/>
        <v>50.289495450785772</v>
      </c>
      <c r="J20" s="24">
        <f t="shared" si="1"/>
        <v>93.251533742331276</v>
      </c>
    </row>
    <row r="21" spans="1:11" ht="15" x14ac:dyDescent="0.25">
      <c r="A21" s="22" t="s">
        <v>26</v>
      </c>
      <c r="B21" s="185" t="s">
        <v>32</v>
      </c>
      <c r="C21" s="186"/>
      <c r="D21" s="186"/>
      <c r="E21" s="187"/>
      <c r="F21" s="22">
        <v>121.3</v>
      </c>
      <c r="G21" s="22">
        <f>31.2+34.2</f>
        <v>65.400000000000006</v>
      </c>
      <c r="H21" s="78">
        <v>72.2</v>
      </c>
      <c r="I21" s="24">
        <f t="shared" si="0"/>
        <v>59.521846661170649</v>
      </c>
      <c r="J21" s="24">
        <f t="shared" si="1"/>
        <v>110.39755351681957</v>
      </c>
    </row>
    <row r="22" spans="1:11" ht="15" x14ac:dyDescent="0.25">
      <c r="A22" s="22" t="s">
        <v>28</v>
      </c>
      <c r="B22" s="185" t="s">
        <v>232</v>
      </c>
      <c r="C22" s="186"/>
      <c r="D22" s="186"/>
      <c r="E22" s="187"/>
      <c r="F22" s="22">
        <v>277.89999999999998</v>
      </c>
      <c r="G22" s="22">
        <f>73+73</f>
        <v>146</v>
      </c>
      <c r="H22" s="78">
        <v>104.6</v>
      </c>
      <c r="I22" s="24">
        <f t="shared" ref="I22" si="2">SUM(H22/F22*100)</f>
        <v>37.639438646995323</v>
      </c>
      <c r="J22" s="24">
        <v>0</v>
      </c>
    </row>
    <row r="23" spans="1:11" ht="15" x14ac:dyDescent="0.25">
      <c r="A23" s="22" t="s">
        <v>29</v>
      </c>
      <c r="B23" s="185" t="s">
        <v>35</v>
      </c>
      <c r="C23" s="186"/>
      <c r="D23" s="186"/>
      <c r="E23" s="187"/>
      <c r="F23" s="22">
        <v>125.2</v>
      </c>
      <c r="G23" s="22">
        <f>33+35</f>
        <v>68</v>
      </c>
      <c r="H23" s="78">
        <v>56.7</v>
      </c>
      <c r="I23" s="24">
        <f t="shared" si="0"/>
        <v>45.287539936102242</v>
      </c>
      <c r="J23" s="24">
        <f t="shared" si="1"/>
        <v>83.382352941176478</v>
      </c>
    </row>
    <row r="24" spans="1:11" ht="15" x14ac:dyDescent="0.25">
      <c r="A24" s="22" t="s">
        <v>31</v>
      </c>
      <c r="B24" s="185" t="s">
        <v>37</v>
      </c>
      <c r="C24" s="186"/>
      <c r="D24" s="186"/>
      <c r="E24" s="187"/>
      <c r="F24" s="22">
        <v>116.7</v>
      </c>
      <c r="G24" s="22">
        <f>30+30</f>
        <v>60</v>
      </c>
      <c r="H24" s="78">
        <v>52.3</v>
      </c>
      <c r="I24" s="24">
        <f t="shared" si="0"/>
        <v>44.815766923736071</v>
      </c>
      <c r="J24" s="24">
        <f t="shared" si="1"/>
        <v>87.166666666666657</v>
      </c>
    </row>
    <row r="25" spans="1:11" ht="15" x14ac:dyDescent="0.25">
      <c r="A25" s="22" t="s">
        <v>33</v>
      </c>
      <c r="B25" s="185" t="s">
        <v>39</v>
      </c>
      <c r="C25" s="186"/>
      <c r="D25" s="186"/>
      <c r="E25" s="187"/>
      <c r="F25" s="22">
        <v>118.9</v>
      </c>
      <c r="G25" s="22">
        <f>31+31</f>
        <v>62</v>
      </c>
      <c r="H25" s="78">
        <v>51.2</v>
      </c>
      <c r="I25" s="24">
        <f t="shared" si="0"/>
        <v>43.061396131202692</v>
      </c>
      <c r="J25" s="24">
        <v>0</v>
      </c>
    </row>
    <row r="26" spans="1:11" ht="15" x14ac:dyDescent="0.25">
      <c r="A26" s="22" t="s">
        <v>34</v>
      </c>
      <c r="B26" s="185" t="s">
        <v>45</v>
      </c>
      <c r="C26" s="186"/>
      <c r="D26" s="186"/>
      <c r="E26" s="187"/>
      <c r="F26" s="22">
        <v>117.3</v>
      </c>
      <c r="G26" s="22">
        <f>30+32</f>
        <v>62</v>
      </c>
      <c r="H26" s="78">
        <v>53.6</v>
      </c>
      <c r="I26" s="24">
        <f t="shared" si="0"/>
        <v>45.694799658994036</v>
      </c>
      <c r="J26" s="24">
        <f t="shared" si="1"/>
        <v>86.451612903225808</v>
      </c>
    </row>
    <row r="27" spans="1:11" ht="15" x14ac:dyDescent="0.25">
      <c r="A27" s="22" t="s">
        <v>36</v>
      </c>
      <c r="B27" s="185" t="s">
        <v>48</v>
      </c>
      <c r="C27" s="186"/>
      <c r="D27" s="186"/>
      <c r="E27" s="187"/>
      <c r="F27" s="22">
        <v>152.69999999999999</v>
      </c>
      <c r="G27" s="22">
        <f>43+43</f>
        <v>86</v>
      </c>
      <c r="H27" s="78">
        <v>57.4</v>
      </c>
      <c r="I27" s="24">
        <f t="shared" si="0"/>
        <v>37.59004584151932</v>
      </c>
      <c r="J27" s="24">
        <f t="shared" si="1"/>
        <v>66.744186046511629</v>
      </c>
      <c r="K27" s="3"/>
    </row>
    <row r="28" spans="1:11" ht="15" x14ac:dyDescent="0.25">
      <c r="A28" s="22" t="s">
        <v>38</v>
      </c>
      <c r="B28" s="185" t="s">
        <v>51</v>
      </c>
      <c r="C28" s="186"/>
      <c r="D28" s="186"/>
      <c r="E28" s="187"/>
      <c r="F28" s="22">
        <v>117.6</v>
      </c>
      <c r="G28" s="22">
        <f>35+35</f>
        <v>70</v>
      </c>
      <c r="H28" s="78">
        <v>69.5</v>
      </c>
      <c r="I28" s="24">
        <f t="shared" si="0"/>
        <v>59.098639455782319</v>
      </c>
      <c r="J28" s="24">
        <f t="shared" si="1"/>
        <v>99.285714285714292</v>
      </c>
    </row>
    <row r="29" spans="1:11" ht="15" x14ac:dyDescent="0.25">
      <c r="A29" s="22" t="s">
        <v>40</v>
      </c>
      <c r="B29" s="185" t="s">
        <v>55</v>
      </c>
      <c r="C29" s="186"/>
      <c r="D29" s="186"/>
      <c r="E29" s="187"/>
      <c r="F29" s="22">
        <v>21.4</v>
      </c>
      <c r="G29" s="22">
        <f>5+5</f>
        <v>10</v>
      </c>
      <c r="H29" s="78">
        <v>13.1</v>
      </c>
      <c r="I29" s="24">
        <f t="shared" si="0"/>
        <v>61.214953271028037</v>
      </c>
      <c r="J29" s="24">
        <f t="shared" si="1"/>
        <v>131</v>
      </c>
    </row>
    <row r="30" spans="1:11" ht="15" x14ac:dyDescent="0.25">
      <c r="A30" s="22" t="s">
        <v>41</v>
      </c>
      <c r="B30" s="185" t="s">
        <v>57</v>
      </c>
      <c r="C30" s="186"/>
      <c r="D30" s="186"/>
      <c r="E30" s="187"/>
      <c r="F30" s="22">
        <v>97.7</v>
      </c>
      <c r="G30" s="22">
        <f>15+21</f>
        <v>36</v>
      </c>
      <c r="H30" s="78">
        <v>53.4</v>
      </c>
      <c r="I30" s="24">
        <f t="shared" si="0"/>
        <v>54.65711361310133</v>
      </c>
      <c r="J30" s="24">
        <f t="shared" si="1"/>
        <v>148.33333333333334</v>
      </c>
    </row>
    <row r="31" spans="1:11" ht="15" x14ac:dyDescent="0.25">
      <c r="A31" s="22" t="s">
        <v>42</v>
      </c>
      <c r="B31" s="185" t="s">
        <v>59</v>
      </c>
      <c r="C31" s="186"/>
      <c r="D31" s="186"/>
      <c r="E31" s="187"/>
      <c r="F31" s="22">
        <v>1</v>
      </c>
      <c r="G31" s="22">
        <f>0.2+0.2</f>
        <v>0.4</v>
      </c>
      <c r="H31" s="78">
        <v>0</v>
      </c>
      <c r="I31" s="24">
        <f t="shared" si="0"/>
        <v>0</v>
      </c>
      <c r="J31" s="24">
        <f t="shared" si="1"/>
        <v>0</v>
      </c>
    </row>
    <row r="32" spans="1:11" ht="15" x14ac:dyDescent="0.25">
      <c r="A32" s="22" t="s">
        <v>43</v>
      </c>
      <c r="B32" s="188" t="s">
        <v>61</v>
      </c>
      <c r="C32" s="189"/>
      <c r="D32" s="189"/>
      <c r="E32" s="190"/>
      <c r="F32" s="22">
        <v>287.10000000000002</v>
      </c>
      <c r="G32" s="22">
        <f>61+61+10</f>
        <v>132</v>
      </c>
      <c r="H32" s="78">
        <v>112.5</v>
      </c>
      <c r="I32" s="24">
        <f t="shared" si="0"/>
        <v>39.184952978056423</v>
      </c>
      <c r="J32" s="24">
        <f t="shared" si="1"/>
        <v>85.227272727272734</v>
      </c>
    </row>
    <row r="33" spans="1:10" ht="15" customHeight="1" x14ac:dyDescent="0.25">
      <c r="A33" s="22" t="s">
        <v>44</v>
      </c>
      <c r="B33" s="191" t="s">
        <v>63</v>
      </c>
      <c r="C33" s="192"/>
      <c r="D33" s="192"/>
      <c r="E33" s="193"/>
      <c r="F33" s="22">
        <v>7</v>
      </c>
      <c r="G33" s="22">
        <f>2+2</f>
        <v>4</v>
      </c>
      <c r="H33" s="78">
        <v>3.3</v>
      </c>
      <c r="I33" s="24">
        <f t="shared" si="0"/>
        <v>47.142857142857139</v>
      </c>
      <c r="J33" s="24">
        <f t="shared" si="1"/>
        <v>82.5</v>
      </c>
    </row>
    <row r="34" spans="1:10" ht="14.4" customHeight="1" x14ac:dyDescent="0.25">
      <c r="A34" s="22" t="s">
        <v>46</v>
      </c>
      <c r="B34" s="185" t="s">
        <v>65</v>
      </c>
      <c r="C34" s="186"/>
      <c r="D34" s="186"/>
      <c r="E34" s="187"/>
      <c r="F34" s="22">
        <v>66.099999999999994</v>
      </c>
      <c r="G34" s="22">
        <f>16+16</f>
        <v>32</v>
      </c>
      <c r="H34" s="78">
        <v>34.5</v>
      </c>
      <c r="I34" s="24">
        <f t="shared" si="0"/>
        <v>52.193645990922846</v>
      </c>
      <c r="J34" s="24">
        <f t="shared" si="1"/>
        <v>107.8125</v>
      </c>
    </row>
    <row r="35" spans="1:10" ht="13.5" customHeight="1" x14ac:dyDescent="0.25">
      <c r="A35" s="22" t="s">
        <v>47</v>
      </c>
      <c r="B35" s="185" t="s">
        <v>67</v>
      </c>
      <c r="C35" s="186"/>
      <c r="D35" s="186"/>
      <c r="E35" s="187"/>
      <c r="F35" s="22">
        <v>82.8</v>
      </c>
      <c r="G35" s="22">
        <f>18+19.2</f>
        <v>37.200000000000003</v>
      </c>
      <c r="H35" s="78">
        <v>36.9</v>
      </c>
      <c r="I35" s="24">
        <f t="shared" si="0"/>
        <v>44.565217391304344</v>
      </c>
      <c r="J35" s="24">
        <f t="shared" si="1"/>
        <v>99.193548387096769</v>
      </c>
    </row>
    <row r="36" spans="1:10" ht="13.5" customHeight="1" x14ac:dyDescent="0.25">
      <c r="A36" s="22" t="s">
        <v>49</v>
      </c>
      <c r="B36" s="185" t="s">
        <v>68</v>
      </c>
      <c r="C36" s="186"/>
      <c r="D36" s="186"/>
      <c r="E36" s="187"/>
      <c r="F36" s="22">
        <v>60</v>
      </c>
      <c r="G36" s="22">
        <f>15+15</f>
        <v>30</v>
      </c>
      <c r="H36" s="78">
        <v>31.2</v>
      </c>
      <c r="I36" s="24">
        <f t="shared" si="0"/>
        <v>52</v>
      </c>
      <c r="J36" s="24">
        <f t="shared" si="1"/>
        <v>104</v>
      </c>
    </row>
    <row r="37" spans="1:10" ht="13.5" customHeight="1" x14ac:dyDescent="0.25">
      <c r="A37" s="22" t="s">
        <v>50</v>
      </c>
      <c r="B37" s="185" t="s">
        <v>69</v>
      </c>
      <c r="C37" s="186"/>
      <c r="D37" s="186"/>
      <c r="E37" s="187"/>
      <c r="F37" s="22">
        <v>2100</v>
      </c>
      <c r="G37" s="22">
        <f>514.4+536.5</f>
        <v>1050.9000000000001</v>
      </c>
      <c r="H37" s="78">
        <v>1090.9000000000001</v>
      </c>
      <c r="I37" s="24">
        <f t="shared" si="0"/>
        <v>51.947619047619057</v>
      </c>
      <c r="J37" s="24">
        <f t="shared" si="1"/>
        <v>103.80626129983823</v>
      </c>
    </row>
    <row r="38" spans="1:10" ht="13.5" customHeight="1" x14ac:dyDescent="0.25">
      <c r="A38" s="22" t="s">
        <v>52</v>
      </c>
      <c r="B38" s="185" t="s">
        <v>70</v>
      </c>
      <c r="C38" s="186"/>
      <c r="D38" s="186"/>
      <c r="E38" s="187"/>
      <c r="F38" s="22">
        <v>9</v>
      </c>
      <c r="G38" s="22">
        <f>2+2</f>
        <v>4</v>
      </c>
      <c r="H38" s="78">
        <v>3.8</v>
      </c>
      <c r="I38" s="24">
        <f t="shared" si="0"/>
        <v>42.222222222222221</v>
      </c>
      <c r="J38" s="24">
        <f t="shared" si="1"/>
        <v>95</v>
      </c>
    </row>
    <row r="39" spans="1:10" ht="15" x14ac:dyDescent="0.25">
      <c r="A39" s="22" t="s">
        <v>53</v>
      </c>
      <c r="B39" s="185" t="s">
        <v>71</v>
      </c>
      <c r="C39" s="186"/>
      <c r="D39" s="186"/>
      <c r="E39" s="187"/>
      <c r="F39" s="22">
        <v>15.1</v>
      </c>
      <c r="G39" s="22">
        <f>3.2+4</f>
        <v>7.2</v>
      </c>
      <c r="H39" s="78">
        <v>6.2</v>
      </c>
      <c r="I39" s="24">
        <f t="shared" si="0"/>
        <v>41.059602649006628</v>
      </c>
      <c r="J39" s="24">
        <f t="shared" si="1"/>
        <v>86.111111111111114</v>
      </c>
    </row>
    <row r="40" spans="1:10" ht="15" x14ac:dyDescent="0.25">
      <c r="A40" s="22" t="s">
        <v>54</v>
      </c>
      <c r="B40" s="185" t="s">
        <v>72</v>
      </c>
      <c r="C40" s="186"/>
      <c r="D40" s="186"/>
      <c r="E40" s="187"/>
      <c r="F40" s="22">
        <v>391</v>
      </c>
      <c r="G40" s="22">
        <f>84+80</f>
        <v>164</v>
      </c>
      <c r="H40" s="78">
        <v>149.69999999999999</v>
      </c>
      <c r="I40" s="24">
        <f t="shared" si="0"/>
        <v>38.286445012787723</v>
      </c>
      <c r="J40" s="24">
        <f t="shared" si="1"/>
        <v>91.280487804878035</v>
      </c>
    </row>
    <row r="41" spans="1:10" ht="15" x14ac:dyDescent="0.25">
      <c r="A41" s="22" t="s">
        <v>56</v>
      </c>
      <c r="B41" s="185" t="s">
        <v>212</v>
      </c>
      <c r="C41" s="186"/>
      <c r="D41" s="186"/>
      <c r="E41" s="187"/>
      <c r="F41" s="22">
        <v>3</v>
      </c>
      <c r="G41" s="22">
        <f>0.8+0.8</f>
        <v>1.6</v>
      </c>
      <c r="H41" s="78">
        <v>3</v>
      </c>
      <c r="I41" s="24">
        <f t="shared" si="0"/>
        <v>100</v>
      </c>
      <c r="J41" s="24">
        <f t="shared" si="1"/>
        <v>187.5</v>
      </c>
    </row>
    <row r="42" spans="1:10" ht="15" x14ac:dyDescent="0.25">
      <c r="A42" s="22" t="s">
        <v>58</v>
      </c>
      <c r="B42" s="185" t="s">
        <v>73</v>
      </c>
      <c r="C42" s="186"/>
      <c r="D42" s="186"/>
      <c r="E42" s="187"/>
      <c r="F42" s="22">
        <v>3</v>
      </c>
      <c r="G42" s="22">
        <f>1+1</f>
        <v>2</v>
      </c>
      <c r="H42" s="78">
        <v>0.7</v>
      </c>
      <c r="I42" s="24">
        <f t="shared" si="0"/>
        <v>23.333333333333332</v>
      </c>
      <c r="J42" s="24">
        <f t="shared" si="1"/>
        <v>35</v>
      </c>
    </row>
    <row r="43" spans="1:10" ht="15" x14ac:dyDescent="0.25">
      <c r="A43" s="22" t="s">
        <v>60</v>
      </c>
      <c r="B43" s="185" t="s">
        <v>213</v>
      </c>
      <c r="C43" s="186"/>
      <c r="D43" s="186"/>
      <c r="E43" s="187"/>
      <c r="F43" s="22">
        <v>24</v>
      </c>
      <c r="G43" s="22">
        <f>6+6</f>
        <v>12</v>
      </c>
      <c r="H43" s="78">
        <v>4.5</v>
      </c>
      <c r="I43" s="24">
        <f t="shared" si="0"/>
        <v>18.75</v>
      </c>
      <c r="J43" s="24">
        <f t="shared" si="1"/>
        <v>37.5</v>
      </c>
    </row>
    <row r="44" spans="1:10" ht="15" x14ac:dyDescent="0.25">
      <c r="A44" s="22" t="s">
        <v>62</v>
      </c>
      <c r="B44" s="185" t="s">
        <v>74</v>
      </c>
      <c r="C44" s="186"/>
      <c r="D44" s="186"/>
      <c r="E44" s="187"/>
      <c r="F44" s="22">
        <v>3</v>
      </c>
      <c r="G44" s="22">
        <f>1+0.5</f>
        <v>1.5</v>
      </c>
      <c r="H44" s="78">
        <v>0.5</v>
      </c>
      <c r="I44" s="24">
        <f t="shared" si="0"/>
        <v>16.666666666666664</v>
      </c>
      <c r="J44" s="24">
        <f t="shared" si="1"/>
        <v>33.333333333333329</v>
      </c>
    </row>
    <row r="45" spans="1:10" ht="15" x14ac:dyDescent="0.25">
      <c r="A45" s="22" t="s">
        <v>64</v>
      </c>
      <c r="B45" s="185" t="s">
        <v>75</v>
      </c>
      <c r="C45" s="186"/>
      <c r="D45" s="186"/>
      <c r="E45" s="187"/>
      <c r="F45" s="22">
        <v>12</v>
      </c>
      <c r="G45" s="22">
        <f>3+3</f>
        <v>6</v>
      </c>
      <c r="H45" s="78">
        <v>3.1</v>
      </c>
      <c r="I45" s="24">
        <f t="shared" si="0"/>
        <v>25.833333333333336</v>
      </c>
      <c r="J45" s="27">
        <f t="shared" si="1"/>
        <v>51.666666666666671</v>
      </c>
    </row>
    <row r="46" spans="1:10" ht="15" x14ac:dyDescent="0.25">
      <c r="A46" s="22" t="s">
        <v>66</v>
      </c>
      <c r="B46" s="185" t="s">
        <v>76</v>
      </c>
      <c r="C46" s="186"/>
      <c r="D46" s="186"/>
      <c r="E46" s="187"/>
      <c r="F46" s="22">
        <v>1736.7</v>
      </c>
      <c r="G46" s="22">
        <f>415+415</f>
        <v>830</v>
      </c>
      <c r="H46" s="78">
        <v>499.1</v>
      </c>
      <c r="I46" s="24">
        <f t="shared" si="0"/>
        <v>28.73841193067312</v>
      </c>
      <c r="J46" s="27">
        <f t="shared" si="1"/>
        <v>60.132530120481931</v>
      </c>
    </row>
    <row r="47" spans="1:10" ht="15" x14ac:dyDescent="0.25">
      <c r="A47" s="78" t="s">
        <v>233</v>
      </c>
      <c r="B47" s="185" t="s">
        <v>77</v>
      </c>
      <c r="C47" s="186"/>
      <c r="D47" s="186"/>
      <c r="E47" s="187"/>
      <c r="F47" s="22">
        <v>1</v>
      </c>
      <c r="G47" s="22">
        <v>0.5</v>
      </c>
      <c r="H47" s="78">
        <v>0.3</v>
      </c>
      <c r="I47" s="24">
        <f t="shared" ref="I47" si="3">SUM(H47/F47*100)</f>
        <v>30</v>
      </c>
      <c r="J47" s="27">
        <f>SUM(H47/G47*100)</f>
        <v>60</v>
      </c>
    </row>
    <row r="48" spans="1:10" ht="15" x14ac:dyDescent="0.25">
      <c r="A48" s="22" t="s">
        <v>234</v>
      </c>
      <c r="B48" s="185" t="s">
        <v>78</v>
      </c>
      <c r="C48" s="186"/>
      <c r="D48" s="186"/>
      <c r="E48" s="187"/>
      <c r="F48" s="22">
        <v>819.2</v>
      </c>
      <c r="G48" s="22">
        <f>141.6+173</f>
        <v>314.60000000000002</v>
      </c>
      <c r="H48" s="78">
        <v>306.39999999999998</v>
      </c>
      <c r="I48" s="24">
        <f t="shared" si="0"/>
        <v>37.402343749999993</v>
      </c>
      <c r="J48" s="27">
        <f t="shared" si="1"/>
        <v>97.393515575333751</v>
      </c>
    </row>
    <row r="49" spans="1:10" ht="15.6" x14ac:dyDescent="0.3">
      <c r="A49" s="28"/>
      <c r="B49" s="206" t="s">
        <v>79</v>
      </c>
      <c r="C49" s="206"/>
      <c r="D49" s="206"/>
      <c r="E49" s="207"/>
      <c r="F49" s="48">
        <f>SUM(F8:F48)</f>
        <v>8369.9</v>
      </c>
      <c r="G49" s="48">
        <f>SUM(G8:G48)</f>
        <v>4090</v>
      </c>
      <c r="H49" s="48">
        <f>SUM(H8:H48)</f>
        <v>3640.4</v>
      </c>
      <c r="I49" s="151">
        <f>SUM(H49/F49*100)</f>
        <v>43.493948553746165</v>
      </c>
      <c r="J49" s="151">
        <f>SUM(H49/G49*100)</f>
        <v>89.007334963325192</v>
      </c>
    </row>
    <row r="52" spans="1:10" x14ac:dyDescent="0.25">
      <c r="F52" s="2"/>
      <c r="G52" s="2"/>
    </row>
  </sheetData>
  <mergeCells count="50">
    <mergeCell ref="B49:E49"/>
    <mergeCell ref="B45:E45"/>
    <mergeCell ref="B46:E46"/>
    <mergeCell ref="B48:E48"/>
    <mergeCell ref="B40:E40"/>
    <mergeCell ref="B41:E41"/>
    <mergeCell ref="B42:E42"/>
    <mergeCell ref="B43:E43"/>
    <mergeCell ref="B44:E44"/>
    <mergeCell ref="B47:E47"/>
    <mergeCell ref="B35:E35"/>
    <mergeCell ref="B36:E36"/>
    <mergeCell ref="B37:E37"/>
    <mergeCell ref="B38:E38"/>
    <mergeCell ref="B39:E39"/>
    <mergeCell ref="B14:E14"/>
    <mergeCell ref="B15:E15"/>
    <mergeCell ref="B18:E18"/>
    <mergeCell ref="B23:E23"/>
    <mergeCell ref="B24:E24"/>
    <mergeCell ref="B22:E22"/>
    <mergeCell ref="B8:E8"/>
    <mergeCell ref="B9:E9"/>
    <mergeCell ref="B10:E10"/>
    <mergeCell ref="B11:E11"/>
    <mergeCell ref="B12:E12"/>
    <mergeCell ref="A3:J3"/>
    <mergeCell ref="A4:J4"/>
    <mergeCell ref="B6:E7"/>
    <mergeCell ref="F6:F7"/>
    <mergeCell ref="G6:G7"/>
    <mergeCell ref="H6:H7"/>
    <mergeCell ref="I6:J6"/>
    <mergeCell ref="I5:J5"/>
    <mergeCell ref="A6:A7"/>
    <mergeCell ref="B29:E29"/>
    <mergeCell ref="B34:E34"/>
    <mergeCell ref="B20:E20"/>
    <mergeCell ref="B21:E21"/>
    <mergeCell ref="B16:E16"/>
    <mergeCell ref="B17:E17"/>
    <mergeCell ref="B19:E19"/>
    <mergeCell ref="B25:E25"/>
    <mergeCell ref="B26:E26"/>
    <mergeCell ref="B27:E27"/>
    <mergeCell ref="B28:E28"/>
    <mergeCell ref="B30:E30"/>
    <mergeCell ref="B31:E31"/>
    <mergeCell ref="B32:E32"/>
    <mergeCell ref="B33:E33"/>
  </mergeCells>
  <phoneticPr fontId="2" type="noConversion"/>
  <pageMargins left="1.1023622047244095" right="0.55118110236220474" top="0.6692913385826772" bottom="0.15748031496062992" header="0.31496062992125984" footer="0.19685039370078741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9EBA-E4E7-4E3A-B128-9BD22E3AA475}">
  <dimension ref="A1:J40"/>
  <sheetViews>
    <sheetView zoomScaleNormal="100" workbookViewId="0"/>
  </sheetViews>
  <sheetFormatPr defaultRowHeight="13.2" x14ac:dyDescent="0.25"/>
  <cols>
    <col min="1" max="1" width="6.6640625" customWidth="1"/>
    <col min="4" max="4" width="7.44140625" customWidth="1"/>
    <col min="5" max="5" width="18.6640625" customWidth="1"/>
    <col min="6" max="6" width="14.109375" customWidth="1"/>
    <col min="7" max="7" width="11.6640625" customWidth="1"/>
    <col min="8" max="8" width="10.5546875" customWidth="1"/>
    <col min="9" max="9" width="10.33203125" customWidth="1"/>
    <col min="10" max="10" width="11" customWidth="1"/>
  </cols>
  <sheetData>
    <row r="1" spans="1:10" ht="15" x14ac:dyDescent="0.25">
      <c r="A1" s="9"/>
      <c r="B1" s="9"/>
      <c r="C1" s="9"/>
      <c r="D1" s="9"/>
      <c r="E1" s="9"/>
      <c r="F1" s="9"/>
      <c r="G1" s="9"/>
      <c r="H1" s="9"/>
      <c r="I1" s="9"/>
      <c r="J1" s="9" t="s">
        <v>101</v>
      </c>
    </row>
    <row r="2" spans="1:10" ht="12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6" x14ac:dyDescent="0.3">
      <c r="A3" s="172" t="s">
        <v>341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0" ht="15.6" x14ac:dyDescent="0.3">
      <c r="A4" s="172" t="s">
        <v>80</v>
      </c>
      <c r="B4" s="172"/>
      <c r="C4" s="172"/>
      <c r="D4" s="172"/>
      <c r="E4" s="172"/>
      <c r="F4" s="172"/>
      <c r="G4" s="172"/>
      <c r="H4" s="172"/>
      <c r="I4" s="172"/>
      <c r="J4" s="172"/>
    </row>
    <row r="5" spans="1:10" ht="15" x14ac:dyDescent="0.25">
      <c r="A5" s="9"/>
      <c r="B5" s="9"/>
      <c r="C5" s="9"/>
      <c r="D5" s="9"/>
      <c r="E5" s="9"/>
      <c r="F5" s="9"/>
      <c r="G5" s="9"/>
      <c r="H5" s="9"/>
      <c r="I5" s="178" t="s">
        <v>81</v>
      </c>
      <c r="J5" s="178"/>
    </row>
    <row r="6" spans="1:10" ht="20.399999999999999" customHeight="1" x14ac:dyDescent="0.25">
      <c r="A6" s="200" t="s">
        <v>210</v>
      </c>
      <c r="B6" s="194" t="s">
        <v>11</v>
      </c>
      <c r="C6" s="195"/>
      <c r="D6" s="195"/>
      <c r="E6" s="196"/>
      <c r="F6" s="200" t="s">
        <v>12</v>
      </c>
      <c r="G6" s="200" t="s">
        <v>352</v>
      </c>
      <c r="H6" s="202" t="s">
        <v>13</v>
      </c>
      <c r="I6" s="204" t="s">
        <v>8</v>
      </c>
      <c r="J6" s="205"/>
    </row>
    <row r="7" spans="1:10" ht="22.95" customHeight="1" x14ac:dyDescent="0.25">
      <c r="A7" s="201"/>
      <c r="B7" s="197"/>
      <c r="C7" s="198"/>
      <c r="D7" s="198"/>
      <c r="E7" s="199"/>
      <c r="F7" s="201"/>
      <c r="G7" s="201"/>
      <c r="H7" s="203"/>
      <c r="I7" s="21" t="s">
        <v>147</v>
      </c>
      <c r="J7" s="13" t="s">
        <v>359</v>
      </c>
    </row>
    <row r="8" spans="1:10" ht="15" x14ac:dyDescent="0.25">
      <c r="A8" s="22" t="s">
        <v>0</v>
      </c>
      <c r="B8" s="28" t="s">
        <v>14</v>
      </c>
      <c r="C8" s="29"/>
      <c r="D8" s="29"/>
      <c r="E8" s="30"/>
      <c r="F8" s="22">
        <v>4.0999999999999996</v>
      </c>
      <c r="G8" s="22">
        <v>2.1</v>
      </c>
      <c r="H8" s="22">
        <v>2.5</v>
      </c>
      <c r="I8" s="24">
        <f t="shared" ref="I8:I37" si="0">SUM(H8/F8*100)</f>
        <v>60.975609756097569</v>
      </c>
      <c r="J8" s="24">
        <f t="shared" ref="J8:J37" si="1">SUM(H8/G8*100)</f>
        <v>119.04761904761905</v>
      </c>
    </row>
    <row r="9" spans="1:10" ht="15" x14ac:dyDescent="0.25">
      <c r="A9" s="22" t="s">
        <v>1</v>
      </c>
      <c r="B9" s="28" t="s">
        <v>15</v>
      </c>
      <c r="C9" s="29"/>
      <c r="D9" s="29"/>
      <c r="E9" s="30"/>
      <c r="F9" s="22">
        <v>10.9</v>
      </c>
      <c r="G9" s="22">
        <v>5.5</v>
      </c>
      <c r="H9" s="22">
        <v>5.2</v>
      </c>
      <c r="I9" s="24">
        <f t="shared" si="0"/>
        <v>47.706422018348626</v>
      </c>
      <c r="J9" s="24">
        <f t="shared" si="1"/>
        <v>94.545454545454547</v>
      </c>
    </row>
    <row r="10" spans="1:10" ht="15" x14ac:dyDescent="0.25">
      <c r="A10" s="22" t="s">
        <v>2</v>
      </c>
      <c r="B10" s="28" t="s">
        <v>82</v>
      </c>
      <c r="C10" s="29"/>
      <c r="D10" s="29"/>
      <c r="E10" s="30"/>
      <c r="F10" s="22">
        <v>2.7</v>
      </c>
      <c r="G10" s="22">
        <v>1.4</v>
      </c>
      <c r="H10" s="22">
        <v>0.8</v>
      </c>
      <c r="I10" s="24">
        <f t="shared" si="0"/>
        <v>29.629629629629626</v>
      </c>
      <c r="J10" s="24">
        <f t="shared" si="1"/>
        <v>57.142857142857153</v>
      </c>
    </row>
    <row r="11" spans="1:10" ht="15" x14ac:dyDescent="0.25">
      <c r="A11" s="22" t="s">
        <v>3</v>
      </c>
      <c r="B11" s="185" t="s">
        <v>16</v>
      </c>
      <c r="C11" s="186"/>
      <c r="D11" s="186"/>
      <c r="E11" s="187"/>
      <c r="F11" s="22">
        <v>0.4</v>
      </c>
      <c r="G11" s="22">
        <v>0.2</v>
      </c>
      <c r="H11" s="22">
        <v>0.1</v>
      </c>
      <c r="I11" s="24">
        <f t="shared" si="0"/>
        <v>25</v>
      </c>
      <c r="J11" s="24">
        <f t="shared" si="1"/>
        <v>50</v>
      </c>
    </row>
    <row r="12" spans="1:10" ht="15" x14ac:dyDescent="0.25">
      <c r="A12" s="22" t="s">
        <v>4</v>
      </c>
      <c r="B12" s="185" t="s">
        <v>17</v>
      </c>
      <c r="C12" s="186"/>
      <c r="D12" s="186"/>
      <c r="E12" s="187"/>
      <c r="F12" s="22">
        <v>12</v>
      </c>
      <c r="G12" s="22">
        <v>6</v>
      </c>
      <c r="H12" s="22">
        <v>7.8</v>
      </c>
      <c r="I12" s="24">
        <f t="shared" si="0"/>
        <v>65</v>
      </c>
      <c r="J12" s="24">
        <f t="shared" si="1"/>
        <v>130</v>
      </c>
    </row>
    <row r="13" spans="1:10" ht="15" x14ac:dyDescent="0.25">
      <c r="A13" s="22" t="s">
        <v>5</v>
      </c>
      <c r="B13" s="185" t="s">
        <v>171</v>
      </c>
      <c r="C13" s="186"/>
      <c r="D13" s="186"/>
      <c r="E13" s="187"/>
      <c r="F13" s="22">
        <v>9</v>
      </c>
      <c r="G13" s="22">
        <v>4.5</v>
      </c>
      <c r="H13" s="22">
        <v>4.2</v>
      </c>
      <c r="I13" s="24">
        <f t="shared" si="0"/>
        <v>46.666666666666664</v>
      </c>
      <c r="J13" s="24">
        <f t="shared" si="1"/>
        <v>93.333333333333329</v>
      </c>
    </row>
    <row r="14" spans="1:10" ht="15" x14ac:dyDescent="0.25">
      <c r="A14" s="22" t="s">
        <v>6</v>
      </c>
      <c r="B14" s="185" t="s">
        <v>172</v>
      </c>
      <c r="C14" s="186"/>
      <c r="D14" s="186"/>
      <c r="E14" s="187"/>
      <c r="F14" s="22">
        <v>2.5</v>
      </c>
      <c r="G14" s="22">
        <v>1.3</v>
      </c>
      <c r="H14" s="22">
        <v>0.1</v>
      </c>
      <c r="I14" s="24">
        <f>SUM(H14/F14*100)</f>
        <v>4</v>
      </c>
      <c r="J14" s="24">
        <f t="shared" si="1"/>
        <v>7.6923076923076925</v>
      </c>
    </row>
    <row r="15" spans="1:10" ht="15" x14ac:dyDescent="0.25">
      <c r="A15" s="22" t="s">
        <v>7</v>
      </c>
      <c r="B15" s="185" t="s">
        <v>211</v>
      </c>
      <c r="C15" s="186"/>
      <c r="D15" s="186"/>
      <c r="E15" s="187"/>
      <c r="F15" s="22">
        <v>2</v>
      </c>
      <c r="G15" s="22">
        <v>1</v>
      </c>
      <c r="H15" s="22">
        <v>2.2000000000000002</v>
      </c>
      <c r="I15" s="24">
        <f>SUM(H15/F15*100)</f>
        <v>110.00000000000001</v>
      </c>
      <c r="J15" s="24">
        <f t="shared" ref="J15" si="2">SUM(H15/G15*100)</f>
        <v>220.00000000000003</v>
      </c>
    </row>
    <row r="16" spans="1:10" ht="15" x14ac:dyDescent="0.25">
      <c r="A16" s="22" t="s">
        <v>18</v>
      </c>
      <c r="B16" s="185" t="s">
        <v>19</v>
      </c>
      <c r="C16" s="186"/>
      <c r="D16" s="186"/>
      <c r="E16" s="187"/>
      <c r="F16" s="22">
        <v>5</v>
      </c>
      <c r="G16" s="22">
        <v>2.5</v>
      </c>
      <c r="H16" s="22">
        <v>2.5</v>
      </c>
      <c r="I16" s="24">
        <f t="shared" si="0"/>
        <v>50</v>
      </c>
      <c r="J16" s="24">
        <f t="shared" si="1"/>
        <v>100</v>
      </c>
    </row>
    <row r="17" spans="1:10" ht="15" x14ac:dyDescent="0.25">
      <c r="A17" s="22" t="s">
        <v>20</v>
      </c>
      <c r="B17" s="185" t="s">
        <v>22</v>
      </c>
      <c r="C17" s="186"/>
      <c r="D17" s="186"/>
      <c r="E17" s="187"/>
      <c r="F17" s="22">
        <v>8.1999999999999993</v>
      </c>
      <c r="G17" s="22">
        <v>4</v>
      </c>
      <c r="H17" s="22">
        <v>4.9000000000000004</v>
      </c>
      <c r="I17" s="24">
        <f t="shared" si="0"/>
        <v>59.756097560975618</v>
      </c>
      <c r="J17" s="24">
        <f t="shared" si="1"/>
        <v>122.50000000000001</v>
      </c>
    </row>
    <row r="18" spans="1:10" ht="15" x14ac:dyDescent="0.25">
      <c r="A18" s="22" t="s">
        <v>21</v>
      </c>
      <c r="B18" s="185" t="s">
        <v>24</v>
      </c>
      <c r="C18" s="186"/>
      <c r="D18" s="186"/>
      <c r="E18" s="187"/>
      <c r="F18" s="17">
        <v>5</v>
      </c>
      <c r="G18" s="22">
        <v>2.5</v>
      </c>
      <c r="H18" s="22">
        <v>2.8</v>
      </c>
      <c r="I18" s="24">
        <f t="shared" si="0"/>
        <v>55.999999999999993</v>
      </c>
      <c r="J18" s="24">
        <f t="shared" si="1"/>
        <v>111.99999999999999</v>
      </c>
    </row>
    <row r="19" spans="1:10" ht="15" x14ac:dyDescent="0.25">
      <c r="A19" s="22" t="s">
        <v>23</v>
      </c>
      <c r="B19" s="185" t="s">
        <v>27</v>
      </c>
      <c r="C19" s="186"/>
      <c r="D19" s="186"/>
      <c r="E19" s="187"/>
      <c r="F19" s="17">
        <v>3.9</v>
      </c>
      <c r="G19" s="22">
        <v>1.7</v>
      </c>
      <c r="H19" s="22">
        <v>1.8</v>
      </c>
      <c r="I19" s="24">
        <f t="shared" si="0"/>
        <v>46.153846153846153</v>
      </c>
      <c r="J19" s="24">
        <f t="shared" si="1"/>
        <v>105.88235294117648</v>
      </c>
    </row>
    <row r="20" spans="1:10" ht="15" x14ac:dyDescent="0.25">
      <c r="A20" s="22" t="s">
        <v>25</v>
      </c>
      <c r="B20" s="185" t="s">
        <v>30</v>
      </c>
      <c r="C20" s="186"/>
      <c r="D20" s="186"/>
      <c r="E20" s="187"/>
      <c r="F20" s="22">
        <v>8</v>
      </c>
      <c r="G20" s="22">
        <v>4</v>
      </c>
      <c r="H20" s="22">
        <v>3.7</v>
      </c>
      <c r="I20" s="24">
        <f t="shared" si="0"/>
        <v>46.25</v>
      </c>
      <c r="J20" s="24">
        <f t="shared" si="1"/>
        <v>92.5</v>
      </c>
    </row>
    <row r="21" spans="1:10" ht="15" x14ac:dyDescent="0.25">
      <c r="A21" s="22" t="s">
        <v>26</v>
      </c>
      <c r="B21" s="185" t="s">
        <v>32</v>
      </c>
      <c r="C21" s="186"/>
      <c r="D21" s="186"/>
      <c r="E21" s="187"/>
      <c r="F21" s="22">
        <v>5.0999999999999996</v>
      </c>
      <c r="G21" s="22">
        <v>2.6</v>
      </c>
      <c r="H21" s="22">
        <v>3.1</v>
      </c>
      <c r="I21" s="24">
        <f t="shared" si="0"/>
        <v>60.7843137254902</v>
      </c>
      <c r="J21" s="24">
        <f t="shared" si="1"/>
        <v>119.23076923076923</v>
      </c>
    </row>
    <row r="22" spans="1:10" ht="15" x14ac:dyDescent="0.25">
      <c r="A22" s="22" t="s">
        <v>28</v>
      </c>
      <c r="B22" s="23" t="s">
        <v>232</v>
      </c>
      <c r="C22" s="143"/>
      <c r="D22" s="143"/>
      <c r="E22" s="144"/>
      <c r="F22" s="22">
        <v>13.4</v>
      </c>
      <c r="G22" s="22">
        <v>6.7</v>
      </c>
      <c r="H22" s="22">
        <v>9.9</v>
      </c>
      <c r="I22" s="24">
        <f t="shared" si="0"/>
        <v>73.880597014925371</v>
      </c>
      <c r="J22" s="24">
        <f t="shared" si="1"/>
        <v>147.76119402985074</v>
      </c>
    </row>
    <row r="23" spans="1:10" ht="15" x14ac:dyDescent="0.25">
      <c r="A23" s="22" t="s">
        <v>29</v>
      </c>
      <c r="B23" s="185" t="s">
        <v>173</v>
      </c>
      <c r="C23" s="186"/>
      <c r="D23" s="186"/>
      <c r="E23" s="187"/>
      <c r="F23" s="22">
        <v>1.5</v>
      </c>
      <c r="G23" s="22">
        <v>0.8</v>
      </c>
      <c r="H23" s="22">
        <v>1</v>
      </c>
      <c r="I23" s="24">
        <f>SUM(H23/F23*100)</f>
        <v>66.666666666666657</v>
      </c>
      <c r="J23" s="24">
        <f>SUM(H23/G23*100)</f>
        <v>125</v>
      </c>
    </row>
    <row r="24" spans="1:10" ht="15" x14ac:dyDescent="0.25">
      <c r="A24" s="22" t="s">
        <v>31</v>
      </c>
      <c r="B24" s="185" t="s">
        <v>174</v>
      </c>
      <c r="C24" s="186"/>
      <c r="D24" s="186"/>
      <c r="E24" s="187"/>
      <c r="F24" s="22">
        <v>0.8</v>
      </c>
      <c r="G24" s="22">
        <v>0.4</v>
      </c>
      <c r="H24" s="22">
        <v>0.7</v>
      </c>
      <c r="I24" s="24">
        <f>SUM(H24/F24*100)</f>
        <v>87.499999999999986</v>
      </c>
      <c r="J24" s="24">
        <f>SUM(H24/G24*100)</f>
        <v>174.99999999999997</v>
      </c>
    </row>
    <row r="25" spans="1:10" ht="15" x14ac:dyDescent="0.25">
      <c r="A25" s="22" t="s">
        <v>33</v>
      </c>
      <c r="B25" s="185" t="s">
        <v>231</v>
      </c>
      <c r="C25" s="186"/>
      <c r="D25" s="186"/>
      <c r="E25" s="187"/>
      <c r="F25" s="22">
        <v>1</v>
      </c>
      <c r="G25" s="22">
        <v>0.5</v>
      </c>
      <c r="H25" s="22">
        <v>0.9</v>
      </c>
      <c r="I25" s="24">
        <f>SUM(H25/F25*100)</f>
        <v>90</v>
      </c>
      <c r="J25" s="24">
        <f>SUM(H25/G25*100)</f>
        <v>180</v>
      </c>
    </row>
    <row r="26" spans="1:10" ht="15" x14ac:dyDescent="0.25">
      <c r="A26" s="22" t="s">
        <v>34</v>
      </c>
      <c r="B26" s="185" t="s">
        <v>175</v>
      </c>
      <c r="C26" s="186"/>
      <c r="D26" s="186"/>
      <c r="E26" s="187"/>
      <c r="F26" s="22">
        <v>2.5</v>
      </c>
      <c r="G26" s="22">
        <v>1.2</v>
      </c>
      <c r="H26" s="22">
        <v>1.3</v>
      </c>
      <c r="I26" s="24">
        <f t="shared" ref="I26:I27" si="3">SUM(H26/F26*100)</f>
        <v>52</v>
      </c>
      <c r="J26" s="24">
        <f t="shared" ref="J26:J27" si="4">SUM(H26/G26*100)</f>
        <v>108.33333333333334</v>
      </c>
    </row>
    <row r="27" spans="1:10" ht="15" x14ac:dyDescent="0.25">
      <c r="A27" s="22" t="s">
        <v>36</v>
      </c>
      <c r="B27" s="185" t="s">
        <v>48</v>
      </c>
      <c r="C27" s="186"/>
      <c r="D27" s="186"/>
      <c r="E27" s="187"/>
      <c r="F27" s="22">
        <v>1.2</v>
      </c>
      <c r="G27" s="22">
        <v>0.6</v>
      </c>
      <c r="H27" s="22">
        <v>1.6</v>
      </c>
      <c r="I27" s="24">
        <f t="shared" si="3"/>
        <v>133.33333333333334</v>
      </c>
      <c r="J27" s="24">
        <f t="shared" si="4"/>
        <v>266.66666666666669</v>
      </c>
    </row>
    <row r="28" spans="1:10" ht="15" customHeight="1" x14ac:dyDescent="0.25">
      <c r="A28" s="22" t="s">
        <v>38</v>
      </c>
      <c r="B28" s="185" t="s">
        <v>55</v>
      </c>
      <c r="C28" s="186"/>
      <c r="D28" s="186"/>
      <c r="E28" s="187"/>
      <c r="F28" s="22">
        <v>1</v>
      </c>
      <c r="G28" s="22">
        <v>0.6</v>
      </c>
      <c r="H28" s="22">
        <v>0</v>
      </c>
      <c r="I28" s="24">
        <f t="shared" si="0"/>
        <v>0</v>
      </c>
      <c r="J28" s="24">
        <f t="shared" si="1"/>
        <v>0</v>
      </c>
    </row>
    <row r="29" spans="1:10" ht="15" x14ac:dyDescent="0.25">
      <c r="A29" s="22" t="s">
        <v>40</v>
      </c>
      <c r="B29" s="185" t="s">
        <v>70</v>
      </c>
      <c r="C29" s="186"/>
      <c r="D29" s="186"/>
      <c r="E29" s="187"/>
      <c r="F29" s="22">
        <v>7</v>
      </c>
      <c r="G29" s="22">
        <v>3.3</v>
      </c>
      <c r="H29" s="22">
        <v>2.4</v>
      </c>
      <c r="I29" s="24">
        <f t="shared" si="0"/>
        <v>34.285714285714285</v>
      </c>
      <c r="J29" s="24">
        <f t="shared" si="1"/>
        <v>72.727272727272734</v>
      </c>
    </row>
    <row r="30" spans="1:10" ht="15" x14ac:dyDescent="0.25">
      <c r="A30" s="22" t="s">
        <v>41</v>
      </c>
      <c r="B30" s="185" t="s">
        <v>72</v>
      </c>
      <c r="C30" s="186"/>
      <c r="D30" s="186"/>
      <c r="E30" s="187"/>
      <c r="F30" s="22">
        <v>40</v>
      </c>
      <c r="G30" s="22">
        <v>20</v>
      </c>
      <c r="H30" s="22">
        <v>20.7</v>
      </c>
      <c r="I30" s="24">
        <f t="shared" si="0"/>
        <v>51.749999999999993</v>
      </c>
      <c r="J30" s="24">
        <f t="shared" si="1"/>
        <v>103.49999999999999</v>
      </c>
    </row>
    <row r="31" spans="1:10" ht="15" x14ac:dyDescent="0.25">
      <c r="A31" s="22" t="s">
        <v>42</v>
      </c>
      <c r="B31" s="185" t="s">
        <v>212</v>
      </c>
      <c r="C31" s="186"/>
      <c r="D31" s="186"/>
      <c r="E31" s="187"/>
      <c r="F31" s="22">
        <v>0.7</v>
      </c>
      <c r="G31" s="22">
        <v>0.4</v>
      </c>
      <c r="H31" s="78">
        <v>0.6</v>
      </c>
      <c r="I31" s="24">
        <v>0</v>
      </c>
      <c r="J31" s="24">
        <v>0</v>
      </c>
    </row>
    <row r="32" spans="1:10" ht="15" x14ac:dyDescent="0.25">
      <c r="A32" s="22" t="s">
        <v>43</v>
      </c>
      <c r="B32" s="185" t="s">
        <v>73</v>
      </c>
      <c r="C32" s="186"/>
      <c r="D32" s="186"/>
      <c r="E32" s="187"/>
      <c r="F32" s="22">
        <v>4</v>
      </c>
      <c r="G32" s="22">
        <v>2</v>
      </c>
      <c r="H32" s="22">
        <v>1.3</v>
      </c>
      <c r="I32" s="24">
        <f t="shared" si="0"/>
        <v>32.5</v>
      </c>
      <c r="J32" s="24">
        <f t="shared" si="1"/>
        <v>65</v>
      </c>
    </row>
    <row r="33" spans="1:10" ht="15" x14ac:dyDescent="0.25">
      <c r="A33" s="22" t="s">
        <v>44</v>
      </c>
      <c r="B33" s="185" t="s">
        <v>213</v>
      </c>
      <c r="C33" s="186"/>
      <c r="D33" s="186"/>
      <c r="E33" s="187"/>
      <c r="F33" s="22">
        <v>3</v>
      </c>
      <c r="G33" s="22">
        <v>1.5</v>
      </c>
      <c r="H33" s="22">
        <v>1.6</v>
      </c>
      <c r="I33" s="24">
        <f t="shared" si="0"/>
        <v>53.333333333333336</v>
      </c>
      <c r="J33" s="24">
        <f t="shared" si="1"/>
        <v>106.66666666666667</v>
      </c>
    </row>
    <row r="34" spans="1:10" ht="15" x14ac:dyDescent="0.25">
      <c r="A34" s="22" t="s">
        <v>46</v>
      </c>
      <c r="B34" s="185" t="s">
        <v>74</v>
      </c>
      <c r="C34" s="186"/>
      <c r="D34" s="186"/>
      <c r="E34" s="187"/>
      <c r="F34" s="22">
        <v>1</v>
      </c>
      <c r="G34" s="22">
        <v>0.5</v>
      </c>
      <c r="H34" s="22">
        <v>0</v>
      </c>
      <c r="I34" s="24">
        <f t="shared" si="0"/>
        <v>0</v>
      </c>
      <c r="J34" s="24">
        <f t="shared" si="1"/>
        <v>0</v>
      </c>
    </row>
    <row r="35" spans="1:10" ht="15" x14ac:dyDescent="0.25">
      <c r="A35" s="22" t="s">
        <v>47</v>
      </c>
      <c r="B35" s="185" t="s">
        <v>75</v>
      </c>
      <c r="C35" s="186"/>
      <c r="D35" s="186"/>
      <c r="E35" s="187"/>
      <c r="F35" s="22">
        <v>4</v>
      </c>
      <c r="G35" s="22">
        <v>2</v>
      </c>
      <c r="H35" s="22">
        <v>1.3</v>
      </c>
      <c r="I35" s="24">
        <f t="shared" si="0"/>
        <v>32.5</v>
      </c>
      <c r="J35" s="24">
        <f t="shared" si="1"/>
        <v>65</v>
      </c>
    </row>
    <row r="36" spans="1:10" ht="15" x14ac:dyDescent="0.25">
      <c r="A36" s="22" t="s">
        <v>49</v>
      </c>
      <c r="B36" s="185" t="s">
        <v>76</v>
      </c>
      <c r="C36" s="186"/>
      <c r="D36" s="186"/>
      <c r="E36" s="187"/>
      <c r="F36" s="22">
        <v>123</v>
      </c>
      <c r="G36" s="22">
        <v>62.3</v>
      </c>
      <c r="H36" s="22">
        <v>51.5</v>
      </c>
      <c r="I36" s="24">
        <f t="shared" si="0"/>
        <v>41.869918699186989</v>
      </c>
      <c r="J36" s="24">
        <f t="shared" si="1"/>
        <v>82.664526484751207</v>
      </c>
    </row>
    <row r="37" spans="1:10" ht="15" x14ac:dyDescent="0.25">
      <c r="A37" s="22" t="s">
        <v>50</v>
      </c>
      <c r="B37" s="185" t="s">
        <v>78</v>
      </c>
      <c r="C37" s="186"/>
      <c r="D37" s="186"/>
      <c r="E37" s="187"/>
      <c r="F37" s="22">
        <v>143.19999999999999</v>
      </c>
      <c r="G37" s="22">
        <v>70.099999999999994</v>
      </c>
      <c r="H37" s="22">
        <v>69.900000000000006</v>
      </c>
      <c r="I37" s="24">
        <f t="shared" si="0"/>
        <v>48.812849162011176</v>
      </c>
      <c r="J37" s="24">
        <f t="shared" si="1"/>
        <v>99.714693295292449</v>
      </c>
    </row>
    <row r="38" spans="1:10" ht="15.6" x14ac:dyDescent="0.3">
      <c r="A38" s="28"/>
      <c r="B38" s="206" t="s">
        <v>79</v>
      </c>
      <c r="C38" s="206"/>
      <c r="D38" s="206"/>
      <c r="E38" s="207"/>
      <c r="F38" s="48">
        <f>SUM(F8:F37)</f>
        <v>426.09999999999997</v>
      </c>
      <c r="G38" s="48">
        <f>SUM(G8:G37)</f>
        <v>212.20000000000002</v>
      </c>
      <c r="H38" s="48">
        <f>SUM(H8:H37)</f>
        <v>206.39999999999998</v>
      </c>
      <c r="I38" s="151">
        <f>SUM(H38/F38*100)</f>
        <v>48.439333489791125</v>
      </c>
      <c r="J38" s="151">
        <f>SUM(H38/G38*100)</f>
        <v>97.266729500471243</v>
      </c>
    </row>
    <row r="40" spans="1:10" x14ac:dyDescent="0.25">
      <c r="F40" s="2"/>
      <c r="G40" s="2"/>
    </row>
  </sheetData>
  <mergeCells count="36">
    <mergeCell ref="B31:E31"/>
    <mergeCell ref="B30:E30"/>
    <mergeCell ref="B19:E19"/>
    <mergeCell ref="B17:E17"/>
    <mergeCell ref="B18:E18"/>
    <mergeCell ref="A3:J3"/>
    <mergeCell ref="A4:J4"/>
    <mergeCell ref="F6:F7"/>
    <mergeCell ref="G6:G7"/>
    <mergeCell ref="H6:H7"/>
    <mergeCell ref="I5:J5"/>
    <mergeCell ref="A6:A7"/>
    <mergeCell ref="B11:E11"/>
    <mergeCell ref="B14:E14"/>
    <mergeCell ref="I6:J6"/>
    <mergeCell ref="B6:E7"/>
    <mergeCell ref="B16:E16"/>
    <mergeCell ref="B13:E13"/>
    <mergeCell ref="B15:E15"/>
    <mergeCell ref="B12:E12"/>
    <mergeCell ref="B36:E36"/>
    <mergeCell ref="B37:E37"/>
    <mergeCell ref="B38:E38"/>
    <mergeCell ref="B20:E20"/>
    <mergeCell ref="B21:E21"/>
    <mergeCell ref="B23:E23"/>
    <mergeCell ref="B24:E24"/>
    <mergeCell ref="B35:E35"/>
    <mergeCell ref="B32:E32"/>
    <mergeCell ref="B33:E33"/>
    <mergeCell ref="B34:E34"/>
    <mergeCell ref="B26:E26"/>
    <mergeCell ref="B27:E27"/>
    <mergeCell ref="B28:E28"/>
    <mergeCell ref="B29:E29"/>
    <mergeCell ref="B25:E25"/>
  </mergeCells>
  <pageMargins left="0.31496062992125984" right="0.15748031496062992" top="0" bottom="0" header="0.31496062992125984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02"/>
  <sheetViews>
    <sheetView showZeros="0" zoomScaleNormal="100" workbookViewId="0"/>
  </sheetViews>
  <sheetFormatPr defaultColWidth="8.88671875" defaultRowHeight="15" x14ac:dyDescent="0.25"/>
  <cols>
    <col min="1" max="1" width="29.5546875" style="9" customWidth="1"/>
    <col min="2" max="2" width="33.33203125" style="9" customWidth="1"/>
    <col min="3" max="3" width="9.33203125" style="9" customWidth="1"/>
    <col min="4" max="4" width="12.88671875" style="9" customWidth="1"/>
    <col min="5" max="5" width="11.6640625" style="9" customWidth="1"/>
    <col min="6" max="6" width="10.44140625" style="9" customWidth="1"/>
    <col min="7" max="7" width="10.88671875" style="9" customWidth="1"/>
    <col min="8" max="8" width="11.44140625" style="9" customWidth="1"/>
    <col min="9" max="9" width="11.5546875" style="9" customWidth="1"/>
    <col min="10" max="10" width="10.33203125" style="9" customWidth="1"/>
    <col min="11" max="11" width="10.88671875" style="9" customWidth="1"/>
    <col min="12" max="13" width="10.6640625" style="9" customWidth="1"/>
    <col min="14" max="14" width="11" style="9" customWidth="1"/>
    <col min="15" max="15" width="10.6640625" style="9" customWidth="1"/>
    <col min="16" max="16" width="8.44140625" style="9" customWidth="1"/>
    <col min="17" max="17" width="10.5546875" style="9" customWidth="1"/>
    <col min="18" max="16384" width="8.88671875" style="9"/>
  </cols>
  <sheetData>
    <row r="1" spans="1:17" x14ac:dyDescent="0.25">
      <c r="P1" s="177" t="s">
        <v>279</v>
      </c>
      <c r="Q1" s="177"/>
    </row>
    <row r="2" spans="1:17" x14ac:dyDescent="0.25">
      <c r="O2" s="163"/>
      <c r="P2" s="163"/>
    </row>
    <row r="3" spans="1:17" ht="15.6" x14ac:dyDescent="0.3">
      <c r="A3" s="172" t="s">
        <v>363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7" ht="15.6" x14ac:dyDescent="0.3">
      <c r="A4" s="83"/>
      <c r="B4" s="83"/>
      <c r="C4" s="83"/>
      <c r="D4" s="83"/>
      <c r="E4" s="83"/>
      <c r="F4" s="83"/>
      <c r="G4" s="83"/>
      <c r="H4" s="83"/>
      <c r="I4" s="113"/>
      <c r="J4" s="113"/>
      <c r="K4" s="120"/>
      <c r="L4" s="120"/>
      <c r="M4" s="120"/>
      <c r="N4" s="120"/>
    </row>
    <row r="5" spans="1:17" ht="14.25" customHeight="1" x14ac:dyDescent="0.3">
      <c r="A5" s="211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113"/>
      <c r="P5" s="178" t="s">
        <v>148</v>
      </c>
      <c r="Q5" s="178"/>
    </row>
    <row r="6" spans="1:17" ht="15" customHeight="1" x14ac:dyDescent="0.25">
      <c r="A6" s="183" t="s">
        <v>237</v>
      </c>
      <c r="B6" s="183" t="s">
        <v>305</v>
      </c>
      <c r="C6" s="183" t="s">
        <v>238</v>
      </c>
      <c r="D6" s="183" t="s">
        <v>361</v>
      </c>
      <c r="E6" s="183"/>
      <c r="F6" s="183"/>
      <c r="G6" s="183"/>
      <c r="H6" s="183" t="s">
        <v>352</v>
      </c>
      <c r="I6" s="183"/>
      <c r="J6" s="183"/>
      <c r="K6" s="183"/>
      <c r="L6" s="183" t="s">
        <v>362</v>
      </c>
      <c r="M6" s="183"/>
      <c r="N6" s="183"/>
      <c r="O6" s="183"/>
      <c r="P6" s="213" t="s">
        <v>239</v>
      </c>
      <c r="Q6" s="213"/>
    </row>
    <row r="7" spans="1:17" ht="15" customHeight="1" x14ac:dyDescent="0.25">
      <c r="A7" s="183"/>
      <c r="B7" s="183"/>
      <c r="C7" s="183"/>
      <c r="D7" s="183" t="s">
        <v>240</v>
      </c>
      <c r="E7" s="183" t="s">
        <v>241</v>
      </c>
      <c r="F7" s="183"/>
      <c r="G7" s="183"/>
      <c r="H7" s="183" t="s">
        <v>240</v>
      </c>
      <c r="I7" s="183" t="s">
        <v>241</v>
      </c>
      <c r="J7" s="183"/>
      <c r="K7" s="183"/>
      <c r="L7" s="183" t="s">
        <v>240</v>
      </c>
      <c r="M7" s="183" t="s">
        <v>241</v>
      </c>
      <c r="N7" s="183"/>
      <c r="O7" s="183"/>
      <c r="P7" s="214" t="s">
        <v>242</v>
      </c>
      <c r="Q7" s="214" t="s">
        <v>243</v>
      </c>
    </row>
    <row r="8" spans="1:17" ht="14.25" customHeight="1" x14ac:dyDescent="0.25">
      <c r="A8" s="183"/>
      <c r="B8" s="183"/>
      <c r="C8" s="183"/>
      <c r="D8" s="183"/>
      <c r="E8" s="183" t="s">
        <v>244</v>
      </c>
      <c r="F8" s="183"/>
      <c r="G8" s="183" t="s">
        <v>245</v>
      </c>
      <c r="H8" s="183"/>
      <c r="I8" s="183" t="s">
        <v>244</v>
      </c>
      <c r="J8" s="183"/>
      <c r="K8" s="183" t="s">
        <v>245</v>
      </c>
      <c r="L8" s="183"/>
      <c r="M8" s="183" t="s">
        <v>244</v>
      </c>
      <c r="N8" s="183"/>
      <c r="O8" s="183" t="s">
        <v>245</v>
      </c>
      <c r="P8" s="214"/>
      <c r="Q8" s="214"/>
    </row>
    <row r="9" spans="1:17" ht="73.2" customHeight="1" x14ac:dyDescent="0.25">
      <c r="A9" s="183"/>
      <c r="B9" s="183"/>
      <c r="C9" s="183"/>
      <c r="D9" s="183"/>
      <c r="E9" s="14" t="s">
        <v>240</v>
      </c>
      <c r="F9" s="168" t="s">
        <v>246</v>
      </c>
      <c r="G9" s="183"/>
      <c r="H9" s="183"/>
      <c r="I9" s="14" t="s">
        <v>240</v>
      </c>
      <c r="J9" s="168" t="s">
        <v>246</v>
      </c>
      <c r="K9" s="183"/>
      <c r="L9" s="183"/>
      <c r="M9" s="14" t="s">
        <v>240</v>
      </c>
      <c r="N9" s="168" t="s">
        <v>246</v>
      </c>
      <c r="O9" s="183"/>
      <c r="P9" s="214"/>
      <c r="Q9" s="214"/>
    </row>
    <row r="10" spans="1:17" ht="18" customHeight="1" x14ac:dyDescent="0.25">
      <c r="A10" s="14">
        <v>1</v>
      </c>
      <c r="B10" s="14">
        <v>2</v>
      </c>
      <c r="C10" s="14">
        <v>3</v>
      </c>
      <c r="D10" s="168">
        <v>4</v>
      </c>
      <c r="E10" s="168">
        <v>5</v>
      </c>
      <c r="F10" s="168">
        <v>6</v>
      </c>
      <c r="G10" s="168">
        <v>7</v>
      </c>
      <c r="H10" s="168">
        <v>8</v>
      </c>
      <c r="I10" s="168">
        <v>9</v>
      </c>
      <c r="J10" s="168">
        <v>10</v>
      </c>
      <c r="K10" s="168">
        <v>11</v>
      </c>
      <c r="L10" s="168">
        <v>12</v>
      </c>
      <c r="M10" s="168">
        <v>13</v>
      </c>
      <c r="N10" s="168">
        <v>14</v>
      </c>
      <c r="O10" s="168">
        <v>15</v>
      </c>
      <c r="P10" s="168">
        <v>16</v>
      </c>
      <c r="Q10" s="168">
        <v>17</v>
      </c>
    </row>
    <row r="11" spans="1:17" ht="30" x14ac:dyDescent="0.25">
      <c r="A11" s="139" t="s">
        <v>247</v>
      </c>
      <c r="B11" s="139"/>
      <c r="C11" s="140"/>
      <c r="D11" s="141">
        <v>108762.1</v>
      </c>
      <c r="E11" s="141">
        <v>62633.599999999999</v>
      </c>
      <c r="F11" s="141">
        <v>14523.6</v>
      </c>
      <c r="G11" s="141">
        <v>46128.5</v>
      </c>
      <c r="H11" s="141">
        <f t="shared" ref="H11:K11" si="0">SUBTOTAL(9,H12:H74)</f>
        <v>62992.599999999984</v>
      </c>
      <c r="I11" s="141">
        <f t="shared" si="0"/>
        <v>36554.899999999987</v>
      </c>
      <c r="J11" s="141">
        <f t="shared" si="0"/>
        <v>7329.9</v>
      </c>
      <c r="K11" s="141">
        <f t="shared" si="0"/>
        <v>26437.700000000004</v>
      </c>
      <c r="L11" s="141">
        <v>39028.300000000003</v>
      </c>
      <c r="M11" s="141">
        <v>26735.5</v>
      </c>
      <c r="N11" s="141">
        <v>5414.1</v>
      </c>
      <c r="O11" s="141">
        <v>12292.8</v>
      </c>
      <c r="P11" s="141">
        <f>SUM(L11/D11*100)</f>
        <v>35.884099332396119</v>
      </c>
      <c r="Q11" s="141">
        <f>SUM(L11/H11*100)</f>
        <v>61.956960023875837</v>
      </c>
    </row>
    <row r="12" spans="1:17" ht="12" customHeight="1" x14ac:dyDescent="0.25">
      <c r="A12" s="183"/>
      <c r="B12" s="212" t="s">
        <v>248</v>
      </c>
      <c r="C12" s="115" t="s">
        <v>249</v>
      </c>
      <c r="D12" s="116">
        <v>8499.2999999999993</v>
      </c>
      <c r="E12" s="116">
        <v>948.1</v>
      </c>
      <c r="F12" s="116">
        <v>512.29999999999995</v>
      </c>
      <c r="G12" s="116">
        <v>7551.2</v>
      </c>
      <c r="H12" s="116">
        <v>3206.3</v>
      </c>
      <c r="I12" s="116">
        <v>716.3</v>
      </c>
      <c r="J12" s="116">
        <v>297</v>
      </c>
      <c r="K12" s="116">
        <v>2490</v>
      </c>
      <c r="L12" s="116">
        <v>1536.4</v>
      </c>
      <c r="M12" s="116">
        <v>281.60000000000002</v>
      </c>
      <c r="N12" s="116">
        <v>205.9</v>
      </c>
      <c r="O12" s="116">
        <v>1254.8</v>
      </c>
      <c r="P12" s="116"/>
      <c r="Q12" s="22"/>
    </row>
    <row r="13" spans="1:17" ht="12" customHeight="1" x14ac:dyDescent="0.25">
      <c r="A13" s="183"/>
      <c r="B13" s="212"/>
      <c r="C13" s="115" t="s">
        <v>250</v>
      </c>
      <c r="D13" s="116">
        <v>3963.3</v>
      </c>
      <c r="E13" s="116">
        <v>3963.3</v>
      </c>
      <c r="F13" s="116">
        <v>0</v>
      </c>
      <c r="G13" s="116">
        <v>0</v>
      </c>
      <c r="H13" s="116">
        <v>1788.2</v>
      </c>
      <c r="I13" s="116">
        <v>1788.2</v>
      </c>
      <c r="J13" s="116">
        <v>0</v>
      </c>
      <c r="K13" s="116">
        <v>0</v>
      </c>
      <c r="L13" s="116">
        <v>1788.1</v>
      </c>
      <c r="M13" s="116">
        <v>1788.1</v>
      </c>
      <c r="N13" s="116">
        <v>0</v>
      </c>
      <c r="O13" s="116">
        <v>0</v>
      </c>
      <c r="P13" s="116"/>
      <c r="Q13" s="22"/>
    </row>
    <row r="14" spans="1:17" ht="12" customHeight="1" x14ac:dyDescent="0.25">
      <c r="A14" s="183"/>
      <c r="B14" s="212"/>
      <c r="C14" s="115" t="s">
        <v>251</v>
      </c>
      <c r="D14" s="116">
        <v>3.8</v>
      </c>
      <c r="E14" s="116">
        <v>3.8</v>
      </c>
      <c r="F14" s="116">
        <v>0</v>
      </c>
      <c r="G14" s="116">
        <v>0</v>
      </c>
      <c r="H14" s="116">
        <v>3.8</v>
      </c>
      <c r="I14" s="116">
        <v>3.8</v>
      </c>
      <c r="J14" s="116">
        <v>0</v>
      </c>
      <c r="K14" s="116">
        <v>0</v>
      </c>
      <c r="L14" s="116">
        <v>3.8</v>
      </c>
      <c r="M14" s="116">
        <v>3.8</v>
      </c>
      <c r="N14" s="116">
        <v>0</v>
      </c>
      <c r="O14" s="116">
        <v>0</v>
      </c>
      <c r="P14" s="116"/>
      <c r="Q14" s="22"/>
    </row>
    <row r="15" spans="1:17" ht="12" customHeight="1" x14ac:dyDescent="0.25">
      <c r="A15" s="183"/>
      <c r="B15" s="212"/>
      <c r="C15" s="115" t="s">
        <v>252</v>
      </c>
      <c r="D15" s="116">
        <v>10875.3</v>
      </c>
      <c r="E15" s="116">
        <v>8246.6</v>
      </c>
      <c r="F15" s="116">
        <v>80.7</v>
      </c>
      <c r="G15" s="116">
        <v>2628.7</v>
      </c>
      <c r="H15" s="116">
        <v>6679.6</v>
      </c>
      <c r="I15" s="116">
        <v>5117.5</v>
      </c>
      <c r="J15" s="116">
        <v>42.6</v>
      </c>
      <c r="K15" s="116">
        <v>1562.1</v>
      </c>
      <c r="L15" s="116">
        <v>5095.7</v>
      </c>
      <c r="M15" s="116">
        <v>4126.1000000000004</v>
      </c>
      <c r="N15" s="116">
        <v>36.1</v>
      </c>
      <c r="O15" s="116">
        <v>969.6</v>
      </c>
      <c r="P15" s="116"/>
      <c r="Q15" s="22"/>
    </row>
    <row r="16" spans="1:17" ht="12" customHeight="1" x14ac:dyDescent="0.25">
      <c r="A16" s="183"/>
      <c r="B16" s="212"/>
      <c r="C16" s="115" t="s">
        <v>272</v>
      </c>
      <c r="D16" s="116">
        <v>900</v>
      </c>
      <c r="E16" s="116">
        <v>0</v>
      </c>
      <c r="F16" s="116">
        <v>0</v>
      </c>
      <c r="G16" s="116">
        <v>900</v>
      </c>
      <c r="H16" s="116">
        <v>330</v>
      </c>
      <c r="I16" s="116">
        <v>0</v>
      </c>
      <c r="J16" s="116">
        <v>0</v>
      </c>
      <c r="K16" s="116">
        <v>330</v>
      </c>
      <c r="L16" s="116">
        <v>86.1</v>
      </c>
      <c r="M16" s="116">
        <v>0</v>
      </c>
      <c r="N16" s="116">
        <v>0</v>
      </c>
      <c r="O16" s="116">
        <v>86.1</v>
      </c>
      <c r="P16" s="116"/>
      <c r="Q16" s="22"/>
    </row>
    <row r="17" spans="1:17" ht="12" customHeight="1" x14ac:dyDescent="0.25">
      <c r="A17" s="183"/>
      <c r="B17" s="212"/>
      <c r="C17" s="115" t="s">
        <v>253</v>
      </c>
      <c r="D17" s="116">
        <v>1301.8</v>
      </c>
      <c r="E17" s="116">
        <v>0</v>
      </c>
      <c r="F17" s="116">
        <v>0</v>
      </c>
      <c r="G17" s="116">
        <v>1301.8</v>
      </c>
      <c r="H17" s="116">
        <v>566</v>
      </c>
      <c r="I17" s="116">
        <v>0</v>
      </c>
      <c r="J17" s="116">
        <v>0</v>
      </c>
      <c r="K17" s="116">
        <v>566</v>
      </c>
      <c r="L17" s="116">
        <v>242.1</v>
      </c>
      <c r="M17" s="116">
        <v>0</v>
      </c>
      <c r="N17" s="116">
        <v>0</v>
      </c>
      <c r="O17" s="116">
        <v>242.1</v>
      </c>
      <c r="P17" s="116"/>
      <c r="Q17" s="22"/>
    </row>
    <row r="18" spans="1:17" ht="12" customHeight="1" x14ac:dyDescent="0.25">
      <c r="A18" s="183"/>
      <c r="B18" s="212"/>
      <c r="C18" s="115" t="s">
        <v>254</v>
      </c>
      <c r="D18" s="116">
        <v>560.79999999999995</v>
      </c>
      <c r="E18" s="116">
        <v>491.8</v>
      </c>
      <c r="F18" s="116">
        <v>18.3</v>
      </c>
      <c r="G18" s="116">
        <v>69</v>
      </c>
      <c r="H18" s="116">
        <v>356.3</v>
      </c>
      <c r="I18" s="116">
        <v>287.3</v>
      </c>
      <c r="J18" s="116">
        <v>11.7</v>
      </c>
      <c r="K18" s="116">
        <v>69</v>
      </c>
      <c r="L18" s="116">
        <v>303.8</v>
      </c>
      <c r="M18" s="116">
        <v>258.5</v>
      </c>
      <c r="N18" s="116">
        <v>8.4</v>
      </c>
      <c r="O18" s="116">
        <v>45.3</v>
      </c>
      <c r="P18" s="116"/>
      <c r="Q18" s="22"/>
    </row>
    <row r="19" spans="1:17" ht="12" customHeight="1" x14ac:dyDescent="0.25">
      <c r="A19" s="183"/>
      <c r="B19" s="212"/>
      <c r="C19" s="115" t="s">
        <v>255</v>
      </c>
      <c r="D19" s="116">
        <v>294.60000000000002</v>
      </c>
      <c r="E19" s="116">
        <v>288.5</v>
      </c>
      <c r="F19" s="116">
        <v>102.1</v>
      </c>
      <c r="G19" s="116">
        <v>6.1</v>
      </c>
      <c r="H19" s="116">
        <v>251.2</v>
      </c>
      <c r="I19" s="116">
        <v>245.1</v>
      </c>
      <c r="J19" s="116">
        <v>61.4</v>
      </c>
      <c r="K19" s="116">
        <v>6.1</v>
      </c>
      <c r="L19" s="116">
        <v>53.4</v>
      </c>
      <c r="M19" s="116">
        <v>48.8</v>
      </c>
      <c r="N19" s="116">
        <v>35.9</v>
      </c>
      <c r="O19" s="116">
        <v>4.5999999999999996</v>
      </c>
      <c r="P19" s="116"/>
      <c r="Q19" s="22"/>
    </row>
    <row r="20" spans="1:17" ht="12" customHeight="1" x14ac:dyDescent="0.25">
      <c r="A20" s="183"/>
      <c r="B20" s="212" t="s">
        <v>256</v>
      </c>
      <c r="C20" s="115" t="s">
        <v>249</v>
      </c>
      <c r="D20" s="116">
        <v>1226.3</v>
      </c>
      <c r="E20" s="116">
        <v>248.5</v>
      </c>
      <c r="F20" s="116">
        <v>0</v>
      </c>
      <c r="G20" s="116">
        <v>977.8</v>
      </c>
      <c r="H20" s="116">
        <v>874.2</v>
      </c>
      <c r="I20" s="116">
        <v>148.5</v>
      </c>
      <c r="J20" s="116">
        <v>0</v>
      </c>
      <c r="K20" s="116">
        <v>725.7</v>
      </c>
      <c r="L20" s="116">
        <v>364.6</v>
      </c>
      <c r="M20" s="116">
        <v>0</v>
      </c>
      <c r="N20" s="116">
        <v>0</v>
      </c>
      <c r="O20" s="116">
        <v>364.6</v>
      </c>
      <c r="P20" s="116"/>
      <c r="Q20" s="22"/>
    </row>
    <row r="21" spans="1:17" ht="12" customHeight="1" x14ac:dyDescent="0.25">
      <c r="A21" s="183"/>
      <c r="B21" s="212"/>
      <c r="C21" s="115" t="s">
        <v>252</v>
      </c>
      <c r="D21" s="116">
        <v>2139.6</v>
      </c>
      <c r="E21" s="116">
        <v>496.4</v>
      </c>
      <c r="F21" s="116">
        <v>0</v>
      </c>
      <c r="G21" s="116">
        <v>1643.2</v>
      </c>
      <c r="H21" s="116">
        <v>1455.7</v>
      </c>
      <c r="I21" s="116">
        <v>387.4</v>
      </c>
      <c r="J21" s="116">
        <v>0</v>
      </c>
      <c r="K21" s="116">
        <v>1068.3</v>
      </c>
      <c r="L21" s="116">
        <v>611.20000000000005</v>
      </c>
      <c r="M21" s="116">
        <v>146.19999999999999</v>
      </c>
      <c r="N21" s="116">
        <v>0</v>
      </c>
      <c r="O21" s="116">
        <v>465</v>
      </c>
      <c r="P21" s="116"/>
      <c r="Q21" s="22"/>
    </row>
    <row r="22" spans="1:17" ht="12" customHeight="1" x14ac:dyDescent="0.25">
      <c r="A22" s="183"/>
      <c r="B22" s="212"/>
      <c r="C22" s="115" t="s">
        <v>272</v>
      </c>
      <c r="D22" s="116">
        <v>200</v>
      </c>
      <c r="E22" s="116">
        <v>0</v>
      </c>
      <c r="F22" s="116">
        <v>0</v>
      </c>
      <c r="G22" s="116">
        <v>200</v>
      </c>
      <c r="H22" s="116">
        <v>100</v>
      </c>
      <c r="I22" s="116">
        <v>0</v>
      </c>
      <c r="J22" s="116">
        <v>0</v>
      </c>
      <c r="K22" s="116">
        <v>100</v>
      </c>
      <c r="L22" s="116">
        <v>0</v>
      </c>
      <c r="M22" s="116">
        <v>0</v>
      </c>
      <c r="N22" s="116">
        <v>0</v>
      </c>
      <c r="O22" s="116">
        <v>0</v>
      </c>
      <c r="P22" s="116"/>
      <c r="Q22" s="22"/>
    </row>
    <row r="23" spans="1:17" ht="12" customHeight="1" x14ac:dyDescent="0.25">
      <c r="A23" s="183"/>
      <c r="B23" s="212"/>
      <c r="C23" s="115" t="s">
        <v>253</v>
      </c>
      <c r="D23" s="116">
        <v>395.7</v>
      </c>
      <c r="E23" s="116">
        <v>0</v>
      </c>
      <c r="F23" s="116">
        <v>0</v>
      </c>
      <c r="G23" s="116">
        <v>395.7</v>
      </c>
      <c r="H23" s="116">
        <v>245.7</v>
      </c>
      <c r="I23" s="116">
        <v>0</v>
      </c>
      <c r="J23" s="116">
        <v>0</v>
      </c>
      <c r="K23" s="116">
        <v>245.7</v>
      </c>
      <c r="L23" s="116">
        <v>214.1</v>
      </c>
      <c r="M23" s="116">
        <v>0</v>
      </c>
      <c r="N23" s="116">
        <v>0</v>
      </c>
      <c r="O23" s="116">
        <v>214.1</v>
      </c>
      <c r="P23" s="116"/>
      <c r="Q23" s="22"/>
    </row>
    <row r="24" spans="1:17" ht="12" customHeight="1" x14ac:dyDescent="0.25">
      <c r="A24" s="183"/>
      <c r="B24" s="212"/>
      <c r="C24" s="115" t="s">
        <v>254</v>
      </c>
      <c r="D24" s="116">
        <v>514.9</v>
      </c>
      <c r="E24" s="116">
        <v>14.9</v>
      </c>
      <c r="F24" s="116">
        <v>0</v>
      </c>
      <c r="G24" s="116">
        <v>500</v>
      </c>
      <c r="H24" s="116">
        <v>285.5</v>
      </c>
      <c r="I24" s="116">
        <v>14.9</v>
      </c>
      <c r="J24" s="116">
        <v>0</v>
      </c>
      <c r="K24" s="116">
        <v>270.60000000000002</v>
      </c>
      <c r="L24" s="116">
        <v>32.4</v>
      </c>
      <c r="M24" s="116">
        <v>14.9</v>
      </c>
      <c r="N24" s="116">
        <v>0</v>
      </c>
      <c r="O24" s="116">
        <v>17.5</v>
      </c>
      <c r="P24" s="116"/>
      <c r="Q24" s="22"/>
    </row>
    <row r="25" spans="1:17" ht="12" customHeight="1" x14ac:dyDescent="0.25">
      <c r="A25" s="183"/>
      <c r="B25" s="212"/>
      <c r="C25" s="115" t="s">
        <v>306</v>
      </c>
      <c r="D25" s="116">
        <v>700.2</v>
      </c>
      <c r="E25" s="116">
        <v>700.2</v>
      </c>
      <c r="F25" s="116">
        <v>0</v>
      </c>
      <c r="G25" s="116">
        <v>0</v>
      </c>
      <c r="H25" s="116">
        <v>396.8</v>
      </c>
      <c r="I25" s="116">
        <v>396.8</v>
      </c>
      <c r="J25" s="116">
        <v>0</v>
      </c>
      <c r="K25" s="116">
        <v>0</v>
      </c>
      <c r="L25" s="116">
        <v>102.3</v>
      </c>
      <c r="M25" s="116">
        <v>102.3</v>
      </c>
      <c r="N25" s="116">
        <v>0</v>
      </c>
      <c r="O25" s="116">
        <v>0</v>
      </c>
      <c r="P25" s="116"/>
      <c r="Q25" s="22"/>
    </row>
    <row r="26" spans="1:17" ht="12" customHeight="1" x14ac:dyDescent="0.25">
      <c r="A26" s="183"/>
      <c r="B26" s="212"/>
      <c r="C26" s="115" t="s">
        <v>255</v>
      </c>
      <c r="D26" s="116">
        <v>49</v>
      </c>
      <c r="E26" s="116">
        <v>0</v>
      </c>
      <c r="F26" s="116">
        <v>0</v>
      </c>
      <c r="G26" s="116">
        <v>49</v>
      </c>
      <c r="H26" s="116">
        <v>49</v>
      </c>
      <c r="I26" s="116">
        <v>0</v>
      </c>
      <c r="J26" s="116">
        <v>0</v>
      </c>
      <c r="K26" s="116">
        <v>49</v>
      </c>
      <c r="L26" s="116">
        <v>0</v>
      </c>
      <c r="M26" s="116">
        <v>0</v>
      </c>
      <c r="N26" s="116">
        <v>0</v>
      </c>
      <c r="O26" s="116">
        <v>0</v>
      </c>
      <c r="P26" s="116"/>
      <c r="Q26" s="22"/>
    </row>
    <row r="27" spans="1:17" ht="12" customHeight="1" x14ac:dyDescent="0.25">
      <c r="A27" s="183"/>
      <c r="B27" s="212" t="s">
        <v>258</v>
      </c>
      <c r="C27" s="115" t="s">
        <v>259</v>
      </c>
      <c r="D27" s="116">
        <v>752.8</v>
      </c>
      <c r="E27" s="116">
        <v>652.79999999999995</v>
      </c>
      <c r="F27" s="116">
        <v>0</v>
      </c>
      <c r="G27" s="116">
        <v>100</v>
      </c>
      <c r="H27" s="116">
        <v>311.8</v>
      </c>
      <c r="I27" s="116">
        <v>241.8</v>
      </c>
      <c r="J27" s="116">
        <v>0</v>
      </c>
      <c r="K27" s="116">
        <v>70</v>
      </c>
      <c r="L27" s="116">
        <v>81.599999999999994</v>
      </c>
      <c r="M27" s="116">
        <v>21.6</v>
      </c>
      <c r="N27" s="116">
        <v>0</v>
      </c>
      <c r="O27" s="116">
        <v>60</v>
      </c>
      <c r="P27" s="116"/>
      <c r="Q27" s="22"/>
    </row>
    <row r="28" spans="1:17" ht="12" customHeight="1" x14ac:dyDescent="0.25">
      <c r="A28" s="183"/>
      <c r="B28" s="212"/>
      <c r="C28" s="115" t="s">
        <v>249</v>
      </c>
      <c r="D28" s="116">
        <v>353.3</v>
      </c>
      <c r="E28" s="116">
        <v>52.8</v>
      </c>
      <c r="F28" s="116">
        <v>0</v>
      </c>
      <c r="G28" s="116">
        <v>300.5</v>
      </c>
      <c r="H28" s="116">
        <v>307.3</v>
      </c>
      <c r="I28" s="116">
        <v>6.8</v>
      </c>
      <c r="J28" s="116">
        <v>0</v>
      </c>
      <c r="K28" s="116">
        <v>300.5</v>
      </c>
      <c r="L28" s="116">
        <v>108.4</v>
      </c>
      <c r="M28" s="116">
        <v>4.2</v>
      </c>
      <c r="N28" s="116">
        <v>0</v>
      </c>
      <c r="O28" s="116">
        <v>104.2</v>
      </c>
      <c r="P28" s="116"/>
      <c r="Q28" s="22"/>
    </row>
    <row r="29" spans="1:17" ht="12" customHeight="1" x14ac:dyDescent="0.25">
      <c r="A29" s="183"/>
      <c r="B29" s="212"/>
      <c r="C29" s="115" t="s">
        <v>260</v>
      </c>
      <c r="D29" s="116">
        <v>3430</v>
      </c>
      <c r="E29" s="116">
        <v>3430</v>
      </c>
      <c r="F29" s="116">
        <v>0</v>
      </c>
      <c r="G29" s="116">
        <v>0</v>
      </c>
      <c r="H29" s="116">
        <v>1720</v>
      </c>
      <c r="I29" s="116">
        <v>1720</v>
      </c>
      <c r="J29" s="116">
        <v>0</v>
      </c>
      <c r="K29" s="116">
        <v>0</v>
      </c>
      <c r="L29" s="116">
        <v>1561</v>
      </c>
      <c r="M29" s="116">
        <v>1561</v>
      </c>
      <c r="N29" s="116">
        <v>0</v>
      </c>
      <c r="O29" s="116">
        <v>0</v>
      </c>
      <c r="P29" s="116"/>
      <c r="Q29" s="22"/>
    </row>
    <row r="30" spans="1:17" ht="12" customHeight="1" x14ac:dyDescent="0.25">
      <c r="A30" s="183"/>
      <c r="B30" s="212"/>
      <c r="C30" s="115" t="s">
        <v>261</v>
      </c>
      <c r="D30" s="116">
        <v>104.3</v>
      </c>
      <c r="E30" s="116">
        <v>104.3</v>
      </c>
      <c r="F30" s="116">
        <v>0</v>
      </c>
      <c r="G30" s="116">
        <v>0</v>
      </c>
      <c r="H30" s="116">
        <v>104.3</v>
      </c>
      <c r="I30" s="116">
        <v>104.3</v>
      </c>
      <c r="J30" s="116">
        <v>0</v>
      </c>
      <c r="K30" s="116">
        <v>0</v>
      </c>
      <c r="L30" s="116">
        <v>83.9</v>
      </c>
      <c r="M30" s="116">
        <v>83.9</v>
      </c>
      <c r="N30" s="116">
        <v>0</v>
      </c>
      <c r="O30" s="116">
        <v>0</v>
      </c>
      <c r="P30" s="116"/>
      <c r="Q30" s="22"/>
    </row>
    <row r="31" spans="1:17" ht="12" customHeight="1" x14ac:dyDescent="0.25">
      <c r="A31" s="183"/>
      <c r="B31" s="212"/>
      <c r="C31" s="115" t="s">
        <v>262</v>
      </c>
      <c r="D31" s="116">
        <v>34</v>
      </c>
      <c r="E31" s="116">
        <v>34</v>
      </c>
      <c r="F31" s="116">
        <v>0</v>
      </c>
      <c r="G31" s="116">
        <v>0</v>
      </c>
      <c r="H31" s="116">
        <v>34</v>
      </c>
      <c r="I31" s="116">
        <v>34</v>
      </c>
      <c r="J31" s="116">
        <v>0</v>
      </c>
      <c r="K31" s="116">
        <v>0</v>
      </c>
      <c r="L31" s="116">
        <v>34</v>
      </c>
      <c r="M31" s="116">
        <v>34</v>
      </c>
      <c r="N31" s="116">
        <v>0</v>
      </c>
      <c r="O31" s="116">
        <v>0</v>
      </c>
      <c r="P31" s="116"/>
      <c r="Q31" s="22"/>
    </row>
    <row r="32" spans="1:17" ht="12" customHeight="1" x14ac:dyDescent="0.25">
      <c r="A32" s="183"/>
      <c r="B32" s="212"/>
      <c r="C32" s="115" t="s">
        <v>264</v>
      </c>
      <c r="D32" s="116">
        <v>9.1999999999999993</v>
      </c>
      <c r="E32" s="116">
        <v>9.1999999999999993</v>
      </c>
      <c r="F32" s="116">
        <v>0</v>
      </c>
      <c r="G32" s="116">
        <v>0</v>
      </c>
      <c r="H32" s="116">
        <v>5</v>
      </c>
      <c r="I32" s="116">
        <v>5</v>
      </c>
      <c r="J32" s="116">
        <v>0</v>
      </c>
      <c r="K32" s="116">
        <v>0</v>
      </c>
      <c r="L32" s="116">
        <v>3.1</v>
      </c>
      <c r="M32" s="116">
        <v>3.1</v>
      </c>
      <c r="N32" s="116">
        <v>0</v>
      </c>
      <c r="O32" s="116">
        <v>0</v>
      </c>
      <c r="P32" s="116"/>
      <c r="Q32" s="22"/>
    </row>
    <row r="33" spans="1:17" ht="12" customHeight="1" x14ac:dyDescent="0.25">
      <c r="A33" s="183"/>
      <c r="B33" s="212"/>
      <c r="C33" s="115" t="s">
        <v>252</v>
      </c>
      <c r="D33" s="116">
        <v>3051.4</v>
      </c>
      <c r="E33" s="116">
        <v>2684.1</v>
      </c>
      <c r="F33" s="116">
        <v>1343</v>
      </c>
      <c r="G33" s="116">
        <v>367.3</v>
      </c>
      <c r="H33" s="116">
        <v>1820.6</v>
      </c>
      <c r="I33" s="116">
        <v>1483.3</v>
      </c>
      <c r="J33" s="116">
        <v>674.5</v>
      </c>
      <c r="K33" s="116">
        <v>337.3</v>
      </c>
      <c r="L33" s="116">
        <v>1069.0999999999999</v>
      </c>
      <c r="M33" s="116">
        <v>972.9</v>
      </c>
      <c r="N33" s="116">
        <v>464.9</v>
      </c>
      <c r="O33" s="116">
        <v>96.2</v>
      </c>
      <c r="P33" s="116"/>
      <c r="Q33" s="22"/>
    </row>
    <row r="34" spans="1:17" ht="12" customHeight="1" x14ac:dyDescent="0.25">
      <c r="A34" s="183"/>
      <c r="B34" s="212"/>
      <c r="C34" s="115" t="s">
        <v>254</v>
      </c>
      <c r="D34" s="116">
        <v>30</v>
      </c>
      <c r="E34" s="116">
        <v>30</v>
      </c>
      <c r="F34" s="116">
        <v>0</v>
      </c>
      <c r="G34" s="116">
        <v>0</v>
      </c>
      <c r="H34" s="116">
        <v>30</v>
      </c>
      <c r="I34" s="116">
        <v>30</v>
      </c>
      <c r="J34" s="116">
        <v>0</v>
      </c>
      <c r="K34" s="116">
        <v>0</v>
      </c>
      <c r="L34" s="116">
        <v>0</v>
      </c>
      <c r="M34" s="116">
        <v>0</v>
      </c>
      <c r="N34" s="116">
        <v>0</v>
      </c>
      <c r="O34" s="116">
        <v>0</v>
      </c>
      <c r="P34" s="116"/>
      <c r="Q34" s="22"/>
    </row>
    <row r="35" spans="1:17" ht="12" customHeight="1" x14ac:dyDescent="0.25">
      <c r="A35" s="183"/>
      <c r="B35" s="212"/>
      <c r="C35" s="115" t="s">
        <v>255</v>
      </c>
      <c r="D35" s="116">
        <v>39.5</v>
      </c>
      <c r="E35" s="116">
        <v>0</v>
      </c>
      <c r="F35" s="116">
        <v>0</v>
      </c>
      <c r="G35" s="116">
        <v>39.5</v>
      </c>
      <c r="H35" s="116">
        <v>39.5</v>
      </c>
      <c r="I35" s="116">
        <v>0</v>
      </c>
      <c r="J35" s="116">
        <v>0</v>
      </c>
      <c r="K35" s="116">
        <v>39.5</v>
      </c>
      <c r="L35" s="116">
        <v>0</v>
      </c>
      <c r="M35" s="116">
        <v>0</v>
      </c>
      <c r="N35" s="116">
        <v>0</v>
      </c>
      <c r="O35" s="116">
        <v>0</v>
      </c>
      <c r="P35" s="116"/>
      <c r="Q35" s="22"/>
    </row>
    <row r="36" spans="1:17" ht="12" customHeight="1" x14ac:dyDescent="0.25">
      <c r="A36" s="183"/>
      <c r="B36" s="212" t="s">
        <v>265</v>
      </c>
      <c r="C36" s="115" t="s">
        <v>259</v>
      </c>
      <c r="D36" s="116">
        <v>117.5</v>
      </c>
      <c r="E36" s="116">
        <v>117.5</v>
      </c>
      <c r="F36" s="116">
        <v>0</v>
      </c>
      <c r="G36" s="116">
        <v>0</v>
      </c>
      <c r="H36" s="116">
        <v>39</v>
      </c>
      <c r="I36" s="116">
        <v>39</v>
      </c>
      <c r="J36" s="116">
        <v>0</v>
      </c>
      <c r="K36" s="116">
        <v>0</v>
      </c>
      <c r="L36" s="116">
        <v>15.3</v>
      </c>
      <c r="M36" s="116">
        <v>15.3</v>
      </c>
      <c r="N36" s="116">
        <v>0</v>
      </c>
      <c r="O36" s="116">
        <v>0</v>
      </c>
      <c r="P36" s="116"/>
      <c r="Q36" s="22"/>
    </row>
    <row r="37" spans="1:17" ht="12" customHeight="1" x14ac:dyDescent="0.25">
      <c r="A37" s="183"/>
      <c r="B37" s="212"/>
      <c r="C37" s="115" t="s">
        <v>249</v>
      </c>
      <c r="D37" s="116">
        <v>2365.8000000000002</v>
      </c>
      <c r="E37" s="116">
        <v>1405.5</v>
      </c>
      <c r="F37" s="116">
        <v>167.2</v>
      </c>
      <c r="G37" s="116">
        <v>960.3</v>
      </c>
      <c r="H37" s="116">
        <v>1026.4000000000001</v>
      </c>
      <c r="I37" s="116">
        <v>649.70000000000005</v>
      </c>
      <c r="J37" s="116">
        <v>64</v>
      </c>
      <c r="K37" s="116">
        <v>376.7</v>
      </c>
      <c r="L37" s="116">
        <v>575.79999999999995</v>
      </c>
      <c r="M37" s="116">
        <v>289.60000000000002</v>
      </c>
      <c r="N37" s="116">
        <v>4</v>
      </c>
      <c r="O37" s="116">
        <v>286.2</v>
      </c>
      <c r="P37" s="116"/>
      <c r="Q37" s="22"/>
    </row>
    <row r="38" spans="1:17" ht="12" customHeight="1" x14ac:dyDescent="0.25">
      <c r="A38" s="183"/>
      <c r="B38" s="212"/>
      <c r="C38" s="115" t="s">
        <v>261</v>
      </c>
      <c r="D38" s="116">
        <v>15</v>
      </c>
      <c r="E38" s="116">
        <v>15</v>
      </c>
      <c r="F38" s="116">
        <v>0</v>
      </c>
      <c r="G38" s="116">
        <v>0</v>
      </c>
      <c r="H38" s="116">
        <v>15</v>
      </c>
      <c r="I38" s="116">
        <v>15</v>
      </c>
      <c r="J38" s="116">
        <v>0</v>
      </c>
      <c r="K38" s="116">
        <v>0</v>
      </c>
      <c r="L38" s="116">
        <v>0</v>
      </c>
      <c r="M38" s="116">
        <v>0</v>
      </c>
      <c r="N38" s="116">
        <v>0</v>
      </c>
      <c r="O38" s="116">
        <v>0</v>
      </c>
      <c r="P38" s="116"/>
      <c r="Q38" s="22"/>
    </row>
    <row r="39" spans="1:17" ht="12" customHeight="1" x14ac:dyDescent="0.25">
      <c r="A39" s="183"/>
      <c r="B39" s="212"/>
      <c r="C39" s="115" t="s">
        <v>252</v>
      </c>
      <c r="D39" s="116">
        <v>933.5</v>
      </c>
      <c r="E39" s="116">
        <v>737.3</v>
      </c>
      <c r="F39" s="116">
        <v>118</v>
      </c>
      <c r="G39" s="116">
        <v>196.2</v>
      </c>
      <c r="H39" s="116">
        <v>656.3</v>
      </c>
      <c r="I39" s="116">
        <v>478.3</v>
      </c>
      <c r="J39" s="116">
        <v>59</v>
      </c>
      <c r="K39" s="116">
        <v>178</v>
      </c>
      <c r="L39" s="116">
        <v>281.7</v>
      </c>
      <c r="M39" s="116">
        <v>175.5</v>
      </c>
      <c r="N39" s="116">
        <v>59</v>
      </c>
      <c r="O39" s="116">
        <v>106.2</v>
      </c>
      <c r="P39" s="116"/>
      <c r="Q39" s="22"/>
    </row>
    <row r="40" spans="1:17" ht="12" customHeight="1" x14ac:dyDescent="0.25">
      <c r="A40" s="183"/>
      <c r="B40" s="212"/>
      <c r="C40" s="115" t="s">
        <v>253</v>
      </c>
      <c r="D40" s="116">
        <v>233.4</v>
      </c>
      <c r="E40" s="116">
        <v>0</v>
      </c>
      <c r="F40" s="116">
        <v>0</v>
      </c>
      <c r="G40" s="116">
        <v>233.4</v>
      </c>
      <c r="H40" s="116">
        <v>59</v>
      </c>
      <c r="I40" s="116">
        <v>0</v>
      </c>
      <c r="J40" s="116">
        <v>0</v>
      </c>
      <c r="K40" s="116">
        <v>59</v>
      </c>
      <c r="L40" s="116">
        <v>0</v>
      </c>
      <c r="M40" s="116">
        <v>0</v>
      </c>
      <c r="N40" s="116">
        <v>0</v>
      </c>
      <c r="O40" s="116">
        <v>0</v>
      </c>
      <c r="P40" s="116"/>
      <c r="Q40" s="22"/>
    </row>
    <row r="41" spans="1:17" ht="12" customHeight="1" x14ac:dyDescent="0.25">
      <c r="A41" s="183"/>
      <c r="B41" s="212"/>
      <c r="C41" s="115" t="s">
        <v>254</v>
      </c>
      <c r="D41" s="116">
        <v>407</v>
      </c>
      <c r="E41" s="116">
        <v>0</v>
      </c>
      <c r="F41" s="116">
        <v>0</v>
      </c>
      <c r="G41" s="116">
        <v>407</v>
      </c>
      <c r="H41" s="116">
        <v>0</v>
      </c>
      <c r="I41" s="116">
        <v>0</v>
      </c>
      <c r="J41" s="116">
        <v>0</v>
      </c>
      <c r="K41" s="116">
        <v>0</v>
      </c>
      <c r="L41" s="116">
        <v>0</v>
      </c>
      <c r="M41" s="116">
        <v>0</v>
      </c>
      <c r="N41" s="116">
        <v>0</v>
      </c>
      <c r="O41" s="116">
        <v>0</v>
      </c>
      <c r="P41" s="116"/>
      <c r="Q41" s="22"/>
    </row>
    <row r="42" spans="1:17" ht="12" customHeight="1" x14ac:dyDescent="0.25">
      <c r="A42" s="183"/>
      <c r="B42" s="212"/>
      <c r="C42" s="115" t="s">
        <v>255</v>
      </c>
      <c r="D42" s="116">
        <v>388.7</v>
      </c>
      <c r="E42" s="116">
        <v>248.2</v>
      </c>
      <c r="F42" s="116">
        <v>29.8</v>
      </c>
      <c r="G42" s="116">
        <v>140.5</v>
      </c>
      <c r="H42" s="116">
        <v>170.5</v>
      </c>
      <c r="I42" s="116">
        <v>115.5</v>
      </c>
      <c r="J42" s="116">
        <v>13.7</v>
      </c>
      <c r="K42" s="116">
        <v>55</v>
      </c>
      <c r="L42" s="116">
        <v>101.5</v>
      </c>
      <c r="M42" s="116">
        <v>51</v>
      </c>
      <c r="N42" s="116">
        <v>0.7</v>
      </c>
      <c r="O42" s="116">
        <v>50.5</v>
      </c>
      <c r="P42" s="116"/>
      <c r="Q42" s="22"/>
    </row>
    <row r="43" spans="1:17" ht="12" customHeight="1" x14ac:dyDescent="0.25">
      <c r="A43" s="183"/>
      <c r="B43" s="212" t="s">
        <v>266</v>
      </c>
      <c r="C43" s="115" t="s">
        <v>249</v>
      </c>
      <c r="D43" s="116">
        <v>1175.3</v>
      </c>
      <c r="E43" s="116">
        <v>150.30000000000001</v>
      </c>
      <c r="F43" s="116">
        <v>0</v>
      </c>
      <c r="G43" s="116">
        <v>1025</v>
      </c>
      <c r="H43" s="116">
        <v>350.3</v>
      </c>
      <c r="I43" s="116">
        <v>150.30000000000001</v>
      </c>
      <c r="J43" s="116">
        <v>0</v>
      </c>
      <c r="K43" s="116">
        <v>200</v>
      </c>
      <c r="L43" s="116">
        <v>57.2</v>
      </c>
      <c r="M43" s="116">
        <v>57.2</v>
      </c>
      <c r="N43" s="116">
        <v>0</v>
      </c>
      <c r="O43" s="116">
        <v>0</v>
      </c>
      <c r="P43" s="116"/>
      <c r="Q43" s="22"/>
    </row>
    <row r="44" spans="1:17" ht="12" customHeight="1" x14ac:dyDescent="0.25">
      <c r="A44" s="183"/>
      <c r="B44" s="212"/>
      <c r="C44" s="115" t="s">
        <v>263</v>
      </c>
      <c r="D44" s="116">
        <v>2.5</v>
      </c>
      <c r="E44" s="116">
        <v>2.5</v>
      </c>
      <c r="F44" s="116">
        <v>0</v>
      </c>
      <c r="G44" s="116">
        <v>0</v>
      </c>
      <c r="H44" s="116">
        <v>2.5</v>
      </c>
      <c r="I44" s="116">
        <v>2.5</v>
      </c>
      <c r="J44" s="116">
        <v>0</v>
      </c>
      <c r="K44" s="116">
        <v>0</v>
      </c>
      <c r="L44" s="116">
        <v>2.5</v>
      </c>
      <c r="M44" s="116">
        <v>2.5</v>
      </c>
      <c r="N44" s="116">
        <v>0</v>
      </c>
      <c r="O44" s="116">
        <v>0</v>
      </c>
      <c r="P44" s="116"/>
      <c r="Q44" s="22"/>
    </row>
    <row r="45" spans="1:17" ht="12" customHeight="1" x14ac:dyDescent="0.25">
      <c r="A45" s="183"/>
      <c r="B45" s="212"/>
      <c r="C45" s="115" t="s">
        <v>264</v>
      </c>
      <c r="D45" s="116">
        <v>26</v>
      </c>
      <c r="E45" s="116">
        <v>26</v>
      </c>
      <c r="F45" s="116">
        <v>0</v>
      </c>
      <c r="G45" s="116">
        <v>0</v>
      </c>
      <c r="H45" s="116">
        <v>11.7</v>
      </c>
      <c r="I45" s="116">
        <v>11.7</v>
      </c>
      <c r="J45" s="116">
        <v>0</v>
      </c>
      <c r="K45" s="116">
        <v>0</v>
      </c>
      <c r="L45" s="116">
        <v>1.5</v>
      </c>
      <c r="M45" s="116">
        <v>1.5</v>
      </c>
      <c r="N45" s="116">
        <v>0</v>
      </c>
      <c r="O45" s="116">
        <v>0</v>
      </c>
      <c r="P45" s="116"/>
      <c r="Q45" s="22"/>
    </row>
    <row r="46" spans="1:17" ht="12" customHeight="1" x14ac:dyDescent="0.25">
      <c r="A46" s="183"/>
      <c r="B46" s="212"/>
      <c r="C46" s="115" t="s">
        <v>252</v>
      </c>
      <c r="D46" s="116">
        <v>6063.7</v>
      </c>
      <c r="E46" s="116">
        <v>5880.2</v>
      </c>
      <c r="F46" s="116">
        <v>0</v>
      </c>
      <c r="G46" s="116">
        <v>183.5</v>
      </c>
      <c r="H46" s="116">
        <v>3936.6</v>
      </c>
      <c r="I46" s="116">
        <v>3768.1</v>
      </c>
      <c r="J46" s="116">
        <v>0</v>
      </c>
      <c r="K46" s="116">
        <v>168.5</v>
      </c>
      <c r="L46" s="116">
        <v>3322.2</v>
      </c>
      <c r="M46" s="116">
        <v>3296.7</v>
      </c>
      <c r="N46" s="116">
        <v>0</v>
      </c>
      <c r="O46" s="116">
        <v>25.5</v>
      </c>
      <c r="P46" s="116"/>
      <c r="Q46" s="22"/>
    </row>
    <row r="47" spans="1:17" ht="12" customHeight="1" x14ac:dyDescent="0.25">
      <c r="A47" s="183"/>
      <c r="B47" s="212"/>
      <c r="C47" s="115" t="s">
        <v>253</v>
      </c>
      <c r="D47" s="116">
        <v>190.3</v>
      </c>
      <c r="E47" s="116">
        <v>0</v>
      </c>
      <c r="F47" s="116">
        <v>0</v>
      </c>
      <c r="G47" s="116">
        <v>190.3</v>
      </c>
      <c r="H47" s="116">
        <v>35.299999999999997</v>
      </c>
      <c r="I47" s="116">
        <v>0</v>
      </c>
      <c r="J47" s="116">
        <v>0</v>
      </c>
      <c r="K47" s="116">
        <v>35.299999999999997</v>
      </c>
      <c r="L47" s="116">
        <v>0</v>
      </c>
      <c r="M47" s="116">
        <v>0</v>
      </c>
      <c r="N47" s="116">
        <v>0</v>
      </c>
      <c r="O47" s="116">
        <v>0</v>
      </c>
      <c r="P47" s="116"/>
      <c r="Q47" s="22"/>
    </row>
    <row r="48" spans="1:17" ht="12" customHeight="1" x14ac:dyDescent="0.25">
      <c r="A48" s="183"/>
      <c r="B48" s="212"/>
      <c r="C48" s="115" t="s">
        <v>254</v>
      </c>
      <c r="D48" s="116">
        <v>591.9</v>
      </c>
      <c r="E48" s="116">
        <v>591.9</v>
      </c>
      <c r="F48" s="116">
        <v>13.5</v>
      </c>
      <c r="G48" s="116">
        <v>0</v>
      </c>
      <c r="H48" s="116">
        <v>417.6</v>
      </c>
      <c r="I48" s="116">
        <v>417.6</v>
      </c>
      <c r="J48" s="116">
        <v>5.0999999999999996</v>
      </c>
      <c r="K48" s="116">
        <v>0</v>
      </c>
      <c r="L48" s="116">
        <v>355</v>
      </c>
      <c r="M48" s="116">
        <v>355</v>
      </c>
      <c r="N48" s="116">
        <v>0.7</v>
      </c>
      <c r="O48" s="116">
        <v>0</v>
      </c>
      <c r="P48" s="116"/>
      <c r="Q48" s="22"/>
    </row>
    <row r="49" spans="1:17" ht="12" customHeight="1" x14ac:dyDescent="0.25">
      <c r="A49" s="183"/>
      <c r="B49" s="212"/>
      <c r="C49" s="115" t="s">
        <v>306</v>
      </c>
      <c r="D49" s="116">
        <v>4072</v>
      </c>
      <c r="E49" s="116">
        <v>4072</v>
      </c>
      <c r="F49" s="116">
        <v>129</v>
      </c>
      <c r="G49" s="116">
        <v>0</v>
      </c>
      <c r="H49" s="116">
        <v>2627.8</v>
      </c>
      <c r="I49" s="116">
        <v>2627.8</v>
      </c>
      <c r="J49" s="116">
        <v>76.3</v>
      </c>
      <c r="K49" s="116">
        <v>0</v>
      </c>
      <c r="L49" s="116">
        <v>2121.1999999999998</v>
      </c>
      <c r="M49" s="116">
        <v>2121.1999999999998</v>
      </c>
      <c r="N49" s="116">
        <v>49.5</v>
      </c>
      <c r="O49" s="116">
        <v>0</v>
      </c>
      <c r="P49" s="116"/>
      <c r="Q49" s="22"/>
    </row>
    <row r="50" spans="1:17" ht="12" customHeight="1" x14ac:dyDescent="0.25">
      <c r="A50" s="183"/>
      <c r="B50" s="212"/>
      <c r="C50" s="115" t="s">
        <v>267</v>
      </c>
      <c r="D50" s="116">
        <v>26.3</v>
      </c>
      <c r="E50" s="116">
        <v>26.3</v>
      </c>
      <c r="F50" s="116">
        <v>0.3</v>
      </c>
      <c r="G50" s="116">
        <v>0</v>
      </c>
      <c r="H50" s="116">
        <v>26.3</v>
      </c>
      <c r="I50" s="116">
        <v>26.3</v>
      </c>
      <c r="J50" s="116">
        <v>0.3</v>
      </c>
      <c r="K50" s="116">
        <v>0</v>
      </c>
      <c r="L50" s="116">
        <v>26</v>
      </c>
      <c r="M50" s="116">
        <v>26</v>
      </c>
      <c r="N50" s="116">
        <v>0</v>
      </c>
      <c r="O50" s="116">
        <v>0</v>
      </c>
      <c r="P50" s="116"/>
      <c r="Q50" s="22"/>
    </row>
    <row r="51" spans="1:17" ht="12" customHeight="1" x14ac:dyDescent="0.25">
      <c r="A51" s="183"/>
      <c r="B51" s="212"/>
      <c r="C51" s="115" t="s">
        <v>255</v>
      </c>
      <c r="D51" s="116">
        <v>50.1</v>
      </c>
      <c r="E51" s="116">
        <v>50.1</v>
      </c>
      <c r="F51" s="116">
        <v>0</v>
      </c>
      <c r="G51" s="116">
        <v>0</v>
      </c>
      <c r="H51" s="116">
        <v>50.1</v>
      </c>
      <c r="I51" s="116">
        <v>50.1</v>
      </c>
      <c r="J51" s="116">
        <v>0</v>
      </c>
      <c r="K51" s="116">
        <v>0</v>
      </c>
      <c r="L51" s="116">
        <v>20.6</v>
      </c>
      <c r="M51" s="116">
        <v>20.6</v>
      </c>
      <c r="N51" s="116">
        <v>0</v>
      </c>
      <c r="O51" s="116">
        <v>0</v>
      </c>
      <c r="P51" s="116"/>
      <c r="Q51" s="22"/>
    </row>
    <row r="52" spans="1:17" ht="12" customHeight="1" x14ac:dyDescent="0.25">
      <c r="A52" s="183"/>
      <c r="B52" s="212" t="s">
        <v>268</v>
      </c>
      <c r="C52" s="115" t="s">
        <v>249</v>
      </c>
      <c r="D52" s="116">
        <v>2356.9</v>
      </c>
      <c r="E52" s="116">
        <v>0</v>
      </c>
      <c r="F52" s="116">
        <v>0</v>
      </c>
      <c r="G52" s="116">
        <v>2356.9</v>
      </c>
      <c r="H52" s="116">
        <v>1697.1</v>
      </c>
      <c r="I52" s="116">
        <v>0</v>
      </c>
      <c r="J52" s="116">
        <v>0</v>
      </c>
      <c r="K52" s="116">
        <v>1697.1</v>
      </c>
      <c r="L52" s="116">
        <v>74.400000000000006</v>
      </c>
      <c r="M52" s="116">
        <v>0</v>
      </c>
      <c r="N52" s="116">
        <v>0</v>
      </c>
      <c r="O52" s="116">
        <v>74.400000000000006</v>
      </c>
      <c r="P52" s="116"/>
      <c r="Q52" s="22"/>
    </row>
    <row r="53" spans="1:17" ht="12" customHeight="1" x14ac:dyDescent="0.25">
      <c r="A53" s="183"/>
      <c r="B53" s="212"/>
      <c r="C53" s="115" t="s">
        <v>269</v>
      </c>
      <c r="D53" s="116">
        <v>4203.5</v>
      </c>
      <c r="E53" s="116">
        <v>0</v>
      </c>
      <c r="F53" s="116">
        <v>0</v>
      </c>
      <c r="G53" s="116">
        <v>4203.5</v>
      </c>
      <c r="H53" s="116">
        <v>1791.4</v>
      </c>
      <c r="I53" s="116">
        <v>0</v>
      </c>
      <c r="J53" s="116">
        <v>0</v>
      </c>
      <c r="K53" s="116">
        <v>1791.4</v>
      </c>
      <c r="L53" s="116">
        <v>519.5</v>
      </c>
      <c r="M53" s="116">
        <v>0</v>
      </c>
      <c r="N53" s="116">
        <v>0</v>
      </c>
      <c r="O53" s="116">
        <v>519.5</v>
      </c>
      <c r="P53" s="116"/>
      <c r="Q53" s="22"/>
    </row>
    <row r="54" spans="1:17" ht="12" customHeight="1" x14ac:dyDescent="0.25">
      <c r="A54" s="183"/>
      <c r="B54" s="212"/>
      <c r="C54" s="115" t="s">
        <v>271</v>
      </c>
      <c r="D54" s="116">
        <v>1493.4</v>
      </c>
      <c r="E54" s="116">
        <v>1493.4</v>
      </c>
      <c r="F54" s="116">
        <v>0</v>
      </c>
      <c r="G54" s="116">
        <v>0</v>
      </c>
      <c r="H54" s="116">
        <v>1000</v>
      </c>
      <c r="I54" s="116">
        <v>1000</v>
      </c>
      <c r="J54" s="116">
        <v>0</v>
      </c>
      <c r="K54" s="116">
        <v>0</v>
      </c>
      <c r="L54" s="116">
        <v>946.7</v>
      </c>
      <c r="M54" s="116">
        <v>946.7</v>
      </c>
      <c r="N54" s="116">
        <v>0</v>
      </c>
      <c r="O54" s="116">
        <v>0</v>
      </c>
      <c r="P54" s="116"/>
      <c r="Q54" s="22"/>
    </row>
    <row r="55" spans="1:17" ht="12" customHeight="1" x14ac:dyDescent="0.25">
      <c r="A55" s="183"/>
      <c r="B55" s="212"/>
      <c r="C55" s="115" t="s">
        <v>263</v>
      </c>
      <c r="D55" s="116">
        <v>301.39999999999998</v>
      </c>
      <c r="E55" s="116">
        <v>0</v>
      </c>
      <c r="F55" s="116">
        <v>0</v>
      </c>
      <c r="G55" s="116">
        <v>301.39999999999998</v>
      </c>
      <c r="H55" s="116">
        <v>301.39999999999998</v>
      </c>
      <c r="I55" s="116">
        <v>0</v>
      </c>
      <c r="J55" s="116">
        <v>0</v>
      </c>
      <c r="K55" s="116">
        <v>301.39999999999998</v>
      </c>
      <c r="L55" s="116">
        <v>39.5</v>
      </c>
      <c r="M55" s="116">
        <v>0</v>
      </c>
      <c r="N55" s="116">
        <v>0</v>
      </c>
      <c r="O55" s="116">
        <v>39.5</v>
      </c>
      <c r="P55" s="116"/>
      <c r="Q55" s="22"/>
    </row>
    <row r="56" spans="1:17" ht="12" customHeight="1" x14ac:dyDescent="0.25">
      <c r="A56" s="183"/>
      <c r="B56" s="212"/>
      <c r="C56" s="115" t="s">
        <v>264</v>
      </c>
      <c r="D56" s="116">
        <v>817.2</v>
      </c>
      <c r="E56" s="116">
        <v>7.2</v>
      </c>
      <c r="F56" s="116">
        <v>0</v>
      </c>
      <c r="G56" s="116">
        <v>810</v>
      </c>
      <c r="H56" s="116">
        <v>463.6</v>
      </c>
      <c r="I56" s="116">
        <v>3.6</v>
      </c>
      <c r="J56" s="116">
        <v>0</v>
      </c>
      <c r="K56" s="116">
        <v>460</v>
      </c>
      <c r="L56" s="116">
        <v>4</v>
      </c>
      <c r="M56" s="116">
        <v>3</v>
      </c>
      <c r="N56" s="116">
        <v>0</v>
      </c>
      <c r="O56" s="116">
        <v>1</v>
      </c>
      <c r="P56" s="116"/>
      <c r="Q56" s="22"/>
    </row>
    <row r="57" spans="1:17" ht="12" customHeight="1" x14ac:dyDescent="0.25">
      <c r="A57" s="183"/>
      <c r="B57" s="212"/>
      <c r="C57" s="115" t="s">
        <v>252</v>
      </c>
      <c r="D57" s="116">
        <v>11936.1</v>
      </c>
      <c r="E57" s="116">
        <v>4875.3999999999996</v>
      </c>
      <c r="F57" s="116">
        <v>0</v>
      </c>
      <c r="G57" s="116">
        <v>7060.7</v>
      </c>
      <c r="H57" s="116">
        <v>9149.4</v>
      </c>
      <c r="I57" s="116">
        <v>3688.7</v>
      </c>
      <c r="J57" s="116">
        <v>0</v>
      </c>
      <c r="K57" s="116">
        <v>5460.7</v>
      </c>
      <c r="L57" s="116">
        <v>6007.4</v>
      </c>
      <c r="M57" s="116">
        <v>2751.1</v>
      </c>
      <c r="N57" s="116">
        <v>0</v>
      </c>
      <c r="O57" s="116">
        <v>3256.3</v>
      </c>
      <c r="P57" s="116"/>
      <c r="Q57" s="22"/>
    </row>
    <row r="58" spans="1:17" ht="12" customHeight="1" x14ac:dyDescent="0.25">
      <c r="A58" s="183"/>
      <c r="B58" s="212"/>
      <c r="C58" s="115" t="s">
        <v>272</v>
      </c>
      <c r="D58" s="116">
        <v>2000</v>
      </c>
      <c r="E58" s="116">
        <v>0</v>
      </c>
      <c r="F58" s="116">
        <v>0</v>
      </c>
      <c r="G58" s="116">
        <v>2000</v>
      </c>
      <c r="H58" s="116">
        <v>600</v>
      </c>
      <c r="I58" s="116">
        <v>0</v>
      </c>
      <c r="J58" s="116">
        <v>0</v>
      </c>
      <c r="K58" s="116">
        <v>600</v>
      </c>
      <c r="L58" s="116">
        <v>75.900000000000006</v>
      </c>
      <c r="M58" s="116">
        <v>0</v>
      </c>
      <c r="N58" s="116">
        <v>0</v>
      </c>
      <c r="O58" s="116">
        <v>75.900000000000006</v>
      </c>
      <c r="P58" s="116"/>
      <c r="Q58" s="22"/>
    </row>
    <row r="59" spans="1:17" ht="12" customHeight="1" x14ac:dyDescent="0.25">
      <c r="A59" s="183"/>
      <c r="B59" s="212"/>
      <c r="C59" s="115" t="s">
        <v>253</v>
      </c>
      <c r="D59" s="116">
        <v>197.2</v>
      </c>
      <c r="E59" s="116">
        <v>0</v>
      </c>
      <c r="F59" s="116">
        <v>0</v>
      </c>
      <c r="G59" s="116">
        <v>197.2</v>
      </c>
      <c r="H59" s="116">
        <v>197.2</v>
      </c>
      <c r="I59" s="116">
        <v>0</v>
      </c>
      <c r="J59" s="116">
        <v>0</v>
      </c>
      <c r="K59" s="116">
        <v>197.2</v>
      </c>
      <c r="L59" s="116">
        <v>3.9</v>
      </c>
      <c r="M59" s="116">
        <v>0</v>
      </c>
      <c r="N59" s="116">
        <v>0</v>
      </c>
      <c r="O59" s="116">
        <v>3.9</v>
      </c>
      <c r="P59" s="116"/>
      <c r="Q59" s="22"/>
    </row>
    <row r="60" spans="1:17" ht="12" customHeight="1" x14ac:dyDescent="0.25">
      <c r="A60" s="183"/>
      <c r="B60" s="212"/>
      <c r="C60" s="115" t="s">
        <v>254</v>
      </c>
      <c r="D60" s="116">
        <v>1271</v>
      </c>
      <c r="E60" s="116">
        <v>1189</v>
      </c>
      <c r="F60" s="116">
        <v>0</v>
      </c>
      <c r="G60" s="116">
        <v>82</v>
      </c>
      <c r="H60" s="116">
        <v>480</v>
      </c>
      <c r="I60" s="116">
        <v>480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6">
        <v>0</v>
      </c>
      <c r="P60" s="116"/>
      <c r="Q60" s="22"/>
    </row>
    <row r="61" spans="1:17" ht="12" customHeight="1" x14ac:dyDescent="0.25">
      <c r="A61" s="183"/>
      <c r="B61" s="212" t="s">
        <v>300</v>
      </c>
      <c r="C61" s="115" t="s">
        <v>252</v>
      </c>
      <c r="D61" s="116">
        <v>1786.2</v>
      </c>
      <c r="E61" s="116">
        <v>1049.3</v>
      </c>
      <c r="F61" s="116">
        <v>0</v>
      </c>
      <c r="G61" s="116">
        <v>736.9</v>
      </c>
      <c r="H61" s="116">
        <v>1197.8</v>
      </c>
      <c r="I61" s="116">
        <v>652.70000000000005</v>
      </c>
      <c r="J61" s="116">
        <v>0</v>
      </c>
      <c r="K61" s="116">
        <v>545.1</v>
      </c>
      <c r="L61" s="116">
        <v>420.1</v>
      </c>
      <c r="M61" s="116">
        <v>383.5</v>
      </c>
      <c r="N61" s="116">
        <v>0</v>
      </c>
      <c r="O61" s="116">
        <v>36.6</v>
      </c>
      <c r="P61" s="116"/>
      <c r="Q61" s="22"/>
    </row>
    <row r="62" spans="1:17" ht="12" customHeight="1" x14ac:dyDescent="0.25">
      <c r="A62" s="183"/>
      <c r="B62" s="212"/>
      <c r="C62" s="115" t="s">
        <v>272</v>
      </c>
      <c r="D62" s="116">
        <v>684.1</v>
      </c>
      <c r="E62" s="116">
        <v>0</v>
      </c>
      <c r="F62" s="116">
        <v>0</v>
      </c>
      <c r="G62" s="116">
        <v>684.1</v>
      </c>
      <c r="H62" s="116">
        <v>200</v>
      </c>
      <c r="I62" s="116">
        <v>0</v>
      </c>
      <c r="J62" s="116">
        <v>0</v>
      </c>
      <c r="K62" s="116">
        <v>200</v>
      </c>
      <c r="L62" s="116">
        <v>25.9</v>
      </c>
      <c r="M62" s="116">
        <v>0</v>
      </c>
      <c r="N62" s="116">
        <v>0</v>
      </c>
      <c r="O62" s="116">
        <v>25.9</v>
      </c>
      <c r="P62" s="116"/>
      <c r="Q62" s="22"/>
    </row>
    <row r="63" spans="1:17" ht="18.600000000000001" customHeight="1" x14ac:dyDescent="0.25">
      <c r="A63" s="183"/>
      <c r="B63" s="212"/>
      <c r="C63" s="115" t="s">
        <v>257</v>
      </c>
      <c r="D63" s="116">
        <v>115.9</v>
      </c>
      <c r="E63" s="116">
        <v>0</v>
      </c>
      <c r="F63" s="116">
        <v>0</v>
      </c>
      <c r="G63" s="116">
        <v>115.9</v>
      </c>
      <c r="H63" s="116">
        <v>0</v>
      </c>
      <c r="I63" s="116">
        <v>0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6">
        <v>0</v>
      </c>
      <c r="P63" s="141"/>
      <c r="Q63" s="141"/>
    </row>
    <row r="64" spans="1:17" ht="30" x14ac:dyDescent="0.25">
      <c r="A64" s="183"/>
      <c r="B64" s="167" t="s">
        <v>270</v>
      </c>
      <c r="C64" s="115" t="s">
        <v>252</v>
      </c>
      <c r="D64" s="116">
        <v>3646.4</v>
      </c>
      <c r="E64" s="116">
        <v>2012.2</v>
      </c>
      <c r="F64" s="116">
        <v>409.8</v>
      </c>
      <c r="G64" s="116">
        <v>1634.2</v>
      </c>
      <c r="H64" s="116">
        <v>2946.2</v>
      </c>
      <c r="I64" s="116">
        <v>1312</v>
      </c>
      <c r="J64" s="116">
        <v>204.9</v>
      </c>
      <c r="K64" s="116">
        <v>1634.2</v>
      </c>
      <c r="L64" s="116">
        <v>2735.2</v>
      </c>
      <c r="M64" s="116">
        <v>1159.0999999999999</v>
      </c>
      <c r="N64" s="116">
        <v>198.9</v>
      </c>
      <c r="O64" s="116">
        <v>1576.1</v>
      </c>
      <c r="P64" s="116"/>
      <c r="Q64" s="22"/>
    </row>
    <row r="65" spans="1:17" ht="12" customHeight="1" x14ac:dyDescent="0.25">
      <c r="A65" s="183"/>
      <c r="B65" s="212" t="s">
        <v>299</v>
      </c>
      <c r="C65" s="115" t="s">
        <v>249</v>
      </c>
      <c r="D65" s="116">
        <v>2113.1999999999998</v>
      </c>
      <c r="E65" s="116">
        <v>72.8</v>
      </c>
      <c r="F65" s="116">
        <v>61.3</v>
      </c>
      <c r="G65" s="116">
        <v>2040.4</v>
      </c>
      <c r="H65" s="116">
        <v>1404.4</v>
      </c>
      <c r="I65" s="116">
        <v>41.9</v>
      </c>
      <c r="J65" s="116">
        <v>30.8</v>
      </c>
      <c r="K65" s="116">
        <v>1362.5</v>
      </c>
      <c r="L65" s="116">
        <v>1269.4000000000001</v>
      </c>
      <c r="M65" s="116">
        <v>14.9</v>
      </c>
      <c r="N65" s="116">
        <v>7.6</v>
      </c>
      <c r="O65" s="116">
        <v>1254.5</v>
      </c>
      <c r="P65" s="116"/>
      <c r="Q65" s="22"/>
    </row>
    <row r="66" spans="1:17" ht="12" customHeight="1" x14ac:dyDescent="0.25">
      <c r="A66" s="183"/>
      <c r="B66" s="212"/>
      <c r="C66" s="115" t="s">
        <v>271</v>
      </c>
      <c r="D66" s="116">
        <v>460.9</v>
      </c>
      <c r="E66" s="116">
        <v>0</v>
      </c>
      <c r="F66" s="116">
        <v>0</v>
      </c>
      <c r="G66" s="116">
        <v>460.9</v>
      </c>
      <c r="H66" s="116">
        <v>300</v>
      </c>
      <c r="I66" s="116">
        <v>0</v>
      </c>
      <c r="J66" s="116">
        <v>0</v>
      </c>
      <c r="K66" s="116">
        <v>300</v>
      </c>
      <c r="L66" s="116">
        <v>30.6</v>
      </c>
      <c r="M66" s="116">
        <v>0</v>
      </c>
      <c r="N66" s="116">
        <v>0</v>
      </c>
      <c r="O66" s="116">
        <v>30.6</v>
      </c>
      <c r="P66" s="141"/>
      <c r="Q66" s="141"/>
    </row>
    <row r="67" spans="1:17" ht="12" customHeight="1" x14ac:dyDescent="0.25">
      <c r="A67" s="183"/>
      <c r="B67" s="212"/>
      <c r="C67" s="115" t="s">
        <v>273</v>
      </c>
      <c r="D67" s="116">
        <v>5</v>
      </c>
      <c r="E67" s="116">
        <v>5</v>
      </c>
      <c r="F67" s="116">
        <v>0</v>
      </c>
      <c r="G67" s="116">
        <v>0</v>
      </c>
      <c r="H67" s="116">
        <v>5</v>
      </c>
      <c r="I67" s="116">
        <v>5</v>
      </c>
      <c r="J67" s="116">
        <v>0</v>
      </c>
      <c r="K67" s="116">
        <v>0</v>
      </c>
      <c r="L67" s="116">
        <v>5</v>
      </c>
      <c r="M67" s="116">
        <v>5</v>
      </c>
      <c r="N67" s="116">
        <v>0</v>
      </c>
      <c r="O67" s="116">
        <v>0</v>
      </c>
      <c r="P67" s="141"/>
      <c r="Q67" s="141"/>
    </row>
    <row r="68" spans="1:17" ht="12" customHeight="1" x14ac:dyDescent="0.25">
      <c r="A68" s="183"/>
      <c r="B68" s="212"/>
      <c r="C68" s="115" t="s">
        <v>264</v>
      </c>
      <c r="D68" s="116">
        <v>110</v>
      </c>
      <c r="E68" s="116">
        <v>110</v>
      </c>
      <c r="F68" s="116">
        <v>0</v>
      </c>
      <c r="G68" s="116">
        <v>0</v>
      </c>
      <c r="H68" s="116">
        <v>54.7</v>
      </c>
      <c r="I68" s="116">
        <v>54.7</v>
      </c>
      <c r="J68" s="116">
        <v>0</v>
      </c>
      <c r="K68" s="116">
        <v>0</v>
      </c>
      <c r="L68" s="116">
        <v>25.5</v>
      </c>
      <c r="M68" s="116">
        <v>25.5</v>
      </c>
      <c r="N68" s="116">
        <v>0</v>
      </c>
      <c r="O68" s="116">
        <v>0</v>
      </c>
      <c r="P68" s="141"/>
      <c r="Q68" s="141"/>
    </row>
    <row r="69" spans="1:17" ht="12" customHeight="1" x14ac:dyDescent="0.25">
      <c r="A69" s="183"/>
      <c r="B69" s="212"/>
      <c r="C69" s="115" t="s">
        <v>252</v>
      </c>
      <c r="D69" s="116">
        <v>17127</v>
      </c>
      <c r="E69" s="116">
        <v>15357</v>
      </c>
      <c r="F69" s="116">
        <v>10876.7</v>
      </c>
      <c r="G69" s="116">
        <v>1770</v>
      </c>
      <c r="H69" s="116">
        <v>9151.6</v>
      </c>
      <c r="I69" s="116">
        <v>7874.2</v>
      </c>
      <c r="J69" s="116">
        <v>5458.7</v>
      </c>
      <c r="K69" s="116">
        <v>1277.4000000000001</v>
      </c>
      <c r="L69" s="116">
        <v>5889.4</v>
      </c>
      <c r="M69" s="116">
        <v>5314.6</v>
      </c>
      <c r="N69" s="116">
        <v>4082.2</v>
      </c>
      <c r="O69" s="116">
        <v>574.79999999999995</v>
      </c>
      <c r="P69" s="116"/>
      <c r="Q69" s="22"/>
    </row>
    <row r="70" spans="1:17" ht="12" customHeight="1" x14ac:dyDescent="0.25">
      <c r="A70" s="183"/>
      <c r="B70" s="212"/>
      <c r="C70" s="115" t="s">
        <v>272</v>
      </c>
      <c r="D70" s="116">
        <v>1215.9000000000001</v>
      </c>
      <c r="E70" s="116">
        <v>0</v>
      </c>
      <c r="F70" s="116">
        <v>0</v>
      </c>
      <c r="G70" s="116">
        <v>1215.9000000000001</v>
      </c>
      <c r="H70" s="116">
        <v>1215.9000000000001</v>
      </c>
      <c r="I70" s="116">
        <v>0</v>
      </c>
      <c r="J70" s="116">
        <v>0</v>
      </c>
      <c r="K70" s="116">
        <v>1215.9000000000001</v>
      </c>
      <c r="L70" s="116">
        <v>333.6</v>
      </c>
      <c r="M70" s="116">
        <v>0</v>
      </c>
      <c r="N70" s="116">
        <v>0</v>
      </c>
      <c r="O70" s="116">
        <v>333.6</v>
      </c>
      <c r="P70" s="116"/>
      <c r="Q70" s="22"/>
    </row>
    <row r="71" spans="1:17" ht="12" customHeight="1" x14ac:dyDescent="0.25">
      <c r="A71" s="183"/>
      <c r="B71" s="212"/>
      <c r="C71" s="115" t="s">
        <v>254</v>
      </c>
      <c r="D71" s="116">
        <v>32.799999999999997</v>
      </c>
      <c r="E71" s="116">
        <v>24.4</v>
      </c>
      <c r="F71" s="116">
        <v>23.2</v>
      </c>
      <c r="G71" s="116">
        <v>8.4</v>
      </c>
      <c r="H71" s="116">
        <v>20.6</v>
      </c>
      <c r="I71" s="116">
        <v>12.2</v>
      </c>
      <c r="J71" s="116">
        <v>12</v>
      </c>
      <c r="K71" s="116">
        <v>8.4</v>
      </c>
      <c r="L71" s="116">
        <v>22.4</v>
      </c>
      <c r="M71" s="116">
        <v>8.8000000000000007</v>
      </c>
      <c r="N71" s="116">
        <v>8.6999999999999993</v>
      </c>
      <c r="O71" s="116">
        <v>13.6</v>
      </c>
      <c r="P71" s="141"/>
      <c r="Q71" s="141"/>
    </row>
    <row r="72" spans="1:17" ht="12" customHeight="1" x14ac:dyDescent="0.25">
      <c r="A72" s="183"/>
      <c r="B72" s="212"/>
      <c r="C72" s="115" t="s">
        <v>306</v>
      </c>
      <c r="D72" s="116">
        <v>700</v>
      </c>
      <c r="E72" s="116">
        <v>700</v>
      </c>
      <c r="F72" s="116">
        <v>623.1</v>
      </c>
      <c r="G72" s="116">
        <v>0</v>
      </c>
      <c r="H72" s="116">
        <v>338.8</v>
      </c>
      <c r="I72" s="116">
        <v>338.8</v>
      </c>
      <c r="J72" s="116">
        <v>310.2</v>
      </c>
      <c r="K72" s="116">
        <v>0</v>
      </c>
      <c r="L72" s="116">
        <v>258.39999999999998</v>
      </c>
      <c r="M72" s="116">
        <v>258.39999999999998</v>
      </c>
      <c r="N72" s="116">
        <v>249.1</v>
      </c>
      <c r="O72" s="116">
        <v>0</v>
      </c>
      <c r="P72" s="141"/>
      <c r="Q72" s="141"/>
    </row>
    <row r="73" spans="1:17" ht="12" customHeight="1" x14ac:dyDescent="0.25">
      <c r="A73" s="183"/>
      <c r="B73" s="212"/>
      <c r="C73" s="115" t="s">
        <v>255</v>
      </c>
      <c r="D73" s="116">
        <v>15.8</v>
      </c>
      <c r="E73" s="116">
        <v>15.8</v>
      </c>
      <c r="F73" s="116">
        <v>15.3</v>
      </c>
      <c r="G73" s="116">
        <v>0</v>
      </c>
      <c r="H73" s="116">
        <v>8.1999999999999993</v>
      </c>
      <c r="I73" s="116">
        <v>8.1999999999999993</v>
      </c>
      <c r="J73" s="116">
        <v>7.7</v>
      </c>
      <c r="K73" s="116">
        <v>0</v>
      </c>
      <c r="L73" s="116">
        <v>2.7</v>
      </c>
      <c r="M73" s="116">
        <v>2.7</v>
      </c>
      <c r="N73" s="116">
        <v>2.5</v>
      </c>
      <c r="O73" s="116">
        <v>0</v>
      </c>
      <c r="P73" s="141"/>
      <c r="Q73" s="141"/>
    </row>
    <row r="74" spans="1:17" ht="12" customHeight="1" x14ac:dyDescent="0.25">
      <c r="A74" s="183"/>
      <c r="B74" s="212"/>
      <c r="C74" s="115" t="s">
        <v>257</v>
      </c>
      <c r="D74" s="116">
        <v>84.1</v>
      </c>
      <c r="E74" s="116">
        <v>0</v>
      </c>
      <c r="F74" s="116">
        <v>0</v>
      </c>
      <c r="G74" s="116">
        <v>84.1</v>
      </c>
      <c r="H74" s="116">
        <v>84.1</v>
      </c>
      <c r="I74" s="116">
        <v>0</v>
      </c>
      <c r="J74" s="116">
        <v>0</v>
      </c>
      <c r="K74" s="116">
        <v>84.1</v>
      </c>
      <c r="L74" s="116">
        <v>84.1</v>
      </c>
      <c r="M74" s="116">
        <v>0</v>
      </c>
      <c r="N74" s="116">
        <v>0</v>
      </c>
      <c r="O74" s="116">
        <v>84.1</v>
      </c>
      <c r="P74" s="116"/>
      <c r="Q74" s="22"/>
    </row>
    <row r="75" spans="1:17" ht="30" x14ac:dyDescent="0.25">
      <c r="A75" s="139" t="s">
        <v>70</v>
      </c>
      <c r="B75" s="139"/>
      <c r="C75" s="140"/>
      <c r="D75" s="141">
        <v>2115.9</v>
      </c>
      <c r="E75" s="141">
        <v>1927.2</v>
      </c>
      <c r="F75" s="141">
        <v>1606.2</v>
      </c>
      <c r="G75" s="141">
        <v>188.7</v>
      </c>
      <c r="H75" s="141">
        <f t="shared" ref="H75:J75" si="1">SUBTOTAL(9,H76:H80)</f>
        <v>1179.3</v>
      </c>
      <c r="I75" s="141">
        <f t="shared" si="1"/>
        <v>1032.9000000000001</v>
      </c>
      <c r="J75" s="141">
        <f t="shared" si="1"/>
        <v>805</v>
      </c>
      <c r="K75" s="141">
        <f>SUBTOTAL(9,K76:K80)</f>
        <v>146.4</v>
      </c>
      <c r="L75" s="141">
        <v>1075.4000000000001</v>
      </c>
      <c r="M75" s="141">
        <v>947.2</v>
      </c>
      <c r="N75" s="141">
        <v>790.2</v>
      </c>
      <c r="O75" s="141">
        <v>128.19999999999999</v>
      </c>
      <c r="P75" s="141">
        <f>SUM(L75/D75*100)</f>
        <v>50.824708162011433</v>
      </c>
      <c r="Q75" s="141">
        <f>SUM(L75/H75*100)</f>
        <v>91.189688798439761</v>
      </c>
    </row>
    <row r="76" spans="1:17" x14ac:dyDescent="0.25">
      <c r="A76" s="183"/>
      <c r="B76" s="167" t="s">
        <v>266</v>
      </c>
      <c r="C76" s="115" t="s">
        <v>252</v>
      </c>
      <c r="D76" s="116">
        <v>3</v>
      </c>
      <c r="E76" s="116">
        <v>1.3</v>
      </c>
      <c r="F76" s="116">
        <v>0</v>
      </c>
      <c r="G76" s="116">
        <v>1.7</v>
      </c>
      <c r="H76" s="116">
        <v>3</v>
      </c>
      <c r="I76" s="116">
        <v>1.3</v>
      </c>
      <c r="J76" s="116">
        <v>0</v>
      </c>
      <c r="K76" s="116">
        <v>1.7</v>
      </c>
      <c r="L76" s="116">
        <v>2.1</v>
      </c>
      <c r="M76" s="116">
        <v>0.4</v>
      </c>
      <c r="N76" s="116">
        <v>0</v>
      </c>
      <c r="O76" s="116">
        <v>1.7</v>
      </c>
      <c r="P76" s="141"/>
      <c r="Q76" s="141"/>
    </row>
    <row r="77" spans="1:17" ht="12" customHeight="1" x14ac:dyDescent="0.25">
      <c r="A77" s="183"/>
      <c r="B77" s="212" t="s">
        <v>300</v>
      </c>
      <c r="C77" s="115" t="s">
        <v>264</v>
      </c>
      <c r="D77" s="116">
        <v>16</v>
      </c>
      <c r="E77" s="116">
        <v>16</v>
      </c>
      <c r="F77" s="116">
        <v>0</v>
      </c>
      <c r="G77" s="116">
        <v>0</v>
      </c>
      <c r="H77" s="116">
        <v>9.5</v>
      </c>
      <c r="I77" s="116">
        <v>9.5</v>
      </c>
      <c r="J77" s="116">
        <v>0</v>
      </c>
      <c r="K77" s="116">
        <v>0</v>
      </c>
      <c r="L77" s="116">
        <v>4.0999999999999996</v>
      </c>
      <c r="M77" s="116">
        <v>4.0999999999999996</v>
      </c>
      <c r="N77" s="116">
        <v>0</v>
      </c>
      <c r="O77" s="116">
        <v>0</v>
      </c>
      <c r="P77" s="141"/>
      <c r="Q77" s="141"/>
    </row>
    <row r="78" spans="1:17" ht="14.4" customHeight="1" x14ac:dyDescent="0.25">
      <c r="A78" s="183"/>
      <c r="B78" s="212"/>
      <c r="C78" s="115" t="s">
        <v>252</v>
      </c>
      <c r="D78" s="116">
        <v>1978.3</v>
      </c>
      <c r="E78" s="116">
        <v>1905.9</v>
      </c>
      <c r="F78" s="116">
        <v>1606.2</v>
      </c>
      <c r="G78" s="116">
        <v>72.400000000000006</v>
      </c>
      <c r="H78" s="116">
        <v>1090.5</v>
      </c>
      <c r="I78" s="116">
        <v>1018.1</v>
      </c>
      <c r="J78" s="116">
        <v>805</v>
      </c>
      <c r="K78" s="116">
        <v>72.400000000000006</v>
      </c>
      <c r="L78" s="116">
        <v>998</v>
      </c>
      <c r="M78" s="116">
        <v>941.2</v>
      </c>
      <c r="N78" s="116">
        <v>790.2</v>
      </c>
      <c r="O78" s="116">
        <v>56.8</v>
      </c>
      <c r="P78" s="141"/>
      <c r="Q78" s="141"/>
    </row>
    <row r="79" spans="1:17" ht="16.95" customHeight="1" x14ac:dyDescent="0.25">
      <c r="A79" s="183"/>
      <c r="B79" s="212"/>
      <c r="C79" s="115" t="s">
        <v>254</v>
      </c>
      <c r="D79" s="116">
        <v>88.6</v>
      </c>
      <c r="E79" s="116">
        <v>4</v>
      </c>
      <c r="F79" s="116">
        <v>0</v>
      </c>
      <c r="G79" s="116">
        <v>84.6</v>
      </c>
      <c r="H79" s="116">
        <v>46.3</v>
      </c>
      <c r="I79" s="116">
        <v>4</v>
      </c>
      <c r="J79" s="116">
        <v>0</v>
      </c>
      <c r="K79" s="116">
        <v>42.3</v>
      </c>
      <c r="L79" s="116">
        <v>42.9</v>
      </c>
      <c r="M79" s="116">
        <v>0.6</v>
      </c>
      <c r="N79" s="116">
        <v>0</v>
      </c>
      <c r="O79" s="116">
        <v>42.3</v>
      </c>
      <c r="P79" s="141"/>
      <c r="Q79" s="141"/>
    </row>
    <row r="80" spans="1:17" ht="45" x14ac:dyDescent="0.25">
      <c r="A80" s="183"/>
      <c r="B80" s="167" t="s">
        <v>299</v>
      </c>
      <c r="C80" s="115" t="s">
        <v>252</v>
      </c>
      <c r="D80" s="116">
        <v>30</v>
      </c>
      <c r="E80" s="116">
        <v>0</v>
      </c>
      <c r="F80" s="116">
        <v>0</v>
      </c>
      <c r="G80" s="116">
        <v>30</v>
      </c>
      <c r="H80" s="116">
        <v>30</v>
      </c>
      <c r="I80" s="116">
        <v>0</v>
      </c>
      <c r="J80" s="116">
        <v>0</v>
      </c>
      <c r="K80" s="116">
        <v>30</v>
      </c>
      <c r="L80" s="116">
        <v>27.4</v>
      </c>
      <c r="M80" s="116">
        <v>0</v>
      </c>
      <c r="N80" s="116">
        <v>0</v>
      </c>
      <c r="O80" s="116">
        <v>27.4</v>
      </c>
      <c r="P80" s="141"/>
      <c r="Q80" s="141"/>
    </row>
    <row r="81" spans="1:17" ht="30" x14ac:dyDescent="0.25">
      <c r="A81" s="139" t="s">
        <v>274</v>
      </c>
      <c r="B81" s="139"/>
      <c r="C81" s="140"/>
      <c r="D81" s="141">
        <v>3916.7</v>
      </c>
      <c r="E81" s="141">
        <v>3901.8999999999996</v>
      </c>
      <c r="F81" s="141">
        <v>3385.2</v>
      </c>
      <c r="G81" s="141">
        <v>14.8</v>
      </c>
      <c r="H81" s="141">
        <f t="shared" ref="H81:K81" si="2">SUBTOTAL(9,H82:H86)</f>
        <v>2527</v>
      </c>
      <c r="I81" s="141">
        <f t="shared" si="2"/>
        <v>2512.1999999999998</v>
      </c>
      <c r="J81" s="141">
        <f t="shared" si="2"/>
        <v>2213.7000000000003</v>
      </c>
      <c r="K81" s="141">
        <f t="shared" si="2"/>
        <v>14.8</v>
      </c>
      <c r="L81" s="141">
        <v>1562.8000000000002</v>
      </c>
      <c r="M81" s="141">
        <v>1548.0000000000002</v>
      </c>
      <c r="N81" s="141">
        <v>1363.3999999999999</v>
      </c>
      <c r="O81" s="141">
        <v>14.8</v>
      </c>
      <c r="P81" s="141">
        <f>SUM(L81/D81*100)</f>
        <v>39.900937013302027</v>
      </c>
      <c r="Q81" s="141">
        <f>SUM(L81/H81*100)</f>
        <v>61.844083893945403</v>
      </c>
    </row>
    <row r="82" spans="1:17" ht="12" customHeight="1" x14ac:dyDescent="0.25">
      <c r="A82" s="183"/>
      <c r="B82" s="212" t="s">
        <v>248</v>
      </c>
      <c r="C82" s="115" t="s">
        <v>250</v>
      </c>
      <c r="D82" s="116">
        <v>2924.6</v>
      </c>
      <c r="E82" s="116">
        <v>2924.6</v>
      </c>
      <c r="F82" s="116">
        <v>2779</v>
      </c>
      <c r="G82" s="116">
        <v>0</v>
      </c>
      <c r="H82" s="116">
        <v>1928.3</v>
      </c>
      <c r="I82" s="116">
        <v>1928.3</v>
      </c>
      <c r="J82" s="116">
        <v>1856</v>
      </c>
      <c r="K82" s="116">
        <v>0</v>
      </c>
      <c r="L82" s="116">
        <v>1145.9000000000001</v>
      </c>
      <c r="M82" s="116">
        <v>1145.9000000000001</v>
      </c>
      <c r="N82" s="116">
        <v>1112</v>
      </c>
      <c r="O82" s="116">
        <v>0</v>
      </c>
      <c r="P82" s="116"/>
      <c r="Q82" s="22"/>
    </row>
    <row r="83" spans="1:17" ht="12" customHeight="1" x14ac:dyDescent="0.25">
      <c r="A83" s="183"/>
      <c r="B83" s="212"/>
      <c r="C83" s="115" t="s">
        <v>251</v>
      </c>
      <c r="D83" s="116">
        <v>3.8</v>
      </c>
      <c r="E83" s="116">
        <v>3.8</v>
      </c>
      <c r="F83" s="116">
        <v>3.7</v>
      </c>
      <c r="G83" s="116">
        <v>0</v>
      </c>
      <c r="H83" s="116">
        <v>3.3</v>
      </c>
      <c r="I83" s="116">
        <v>3.3</v>
      </c>
      <c r="J83" s="116">
        <v>3.2</v>
      </c>
      <c r="K83" s="116">
        <v>0</v>
      </c>
      <c r="L83" s="116">
        <v>2.7</v>
      </c>
      <c r="M83" s="116">
        <v>2.7</v>
      </c>
      <c r="N83" s="116">
        <v>2.6</v>
      </c>
      <c r="O83" s="116">
        <v>0</v>
      </c>
      <c r="P83" s="141"/>
      <c r="Q83" s="141"/>
    </row>
    <row r="84" spans="1:17" ht="12" customHeight="1" x14ac:dyDescent="0.25">
      <c r="A84" s="183"/>
      <c r="B84" s="212"/>
      <c r="C84" s="115" t="s">
        <v>264</v>
      </c>
      <c r="D84" s="116">
        <v>160.1</v>
      </c>
      <c r="E84" s="116">
        <v>160.1</v>
      </c>
      <c r="F84" s="116">
        <v>20.7</v>
      </c>
      <c r="G84" s="116">
        <v>0</v>
      </c>
      <c r="H84" s="116">
        <v>96</v>
      </c>
      <c r="I84" s="116">
        <v>96</v>
      </c>
      <c r="J84" s="116">
        <v>11.2</v>
      </c>
      <c r="K84" s="116">
        <v>0</v>
      </c>
      <c r="L84" s="116">
        <v>74.7</v>
      </c>
      <c r="M84" s="116">
        <v>74.7</v>
      </c>
      <c r="N84" s="116">
        <v>6</v>
      </c>
      <c r="O84" s="116">
        <v>0</v>
      </c>
      <c r="P84" s="141"/>
      <c r="Q84" s="141"/>
    </row>
    <row r="85" spans="1:17" ht="12" customHeight="1" x14ac:dyDescent="0.25">
      <c r="A85" s="183"/>
      <c r="B85" s="212"/>
      <c r="C85" s="115" t="s">
        <v>252</v>
      </c>
      <c r="D85" s="116">
        <v>787</v>
      </c>
      <c r="E85" s="116">
        <v>772.2</v>
      </c>
      <c r="F85" s="116">
        <v>541.4</v>
      </c>
      <c r="G85" s="116">
        <v>14.8</v>
      </c>
      <c r="H85" s="116">
        <v>471.9</v>
      </c>
      <c r="I85" s="116">
        <v>457.1</v>
      </c>
      <c r="J85" s="116">
        <v>316.39999999999998</v>
      </c>
      <c r="K85" s="116">
        <v>14.8</v>
      </c>
      <c r="L85" s="116">
        <v>325.8</v>
      </c>
      <c r="M85" s="116">
        <v>311</v>
      </c>
      <c r="N85" s="116">
        <v>229.3</v>
      </c>
      <c r="O85" s="116">
        <v>14.8</v>
      </c>
      <c r="P85" s="141"/>
      <c r="Q85" s="141"/>
    </row>
    <row r="86" spans="1:17" ht="12" customHeight="1" x14ac:dyDescent="0.25">
      <c r="A86" s="183"/>
      <c r="B86" s="212"/>
      <c r="C86" s="115" t="s">
        <v>254</v>
      </c>
      <c r="D86" s="116">
        <v>41.2</v>
      </c>
      <c r="E86" s="116">
        <v>41.2</v>
      </c>
      <c r="F86" s="116">
        <v>40.4</v>
      </c>
      <c r="G86" s="116">
        <v>0</v>
      </c>
      <c r="H86" s="116">
        <v>27.5</v>
      </c>
      <c r="I86" s="116">
        <v>27.5</v>
      </c>
      <c r="J86" s="116">
        <v>26.9</v>
      </c>
      <c r="K86" s="116">
        <v>0</v>
      </c>
      <c r="L86" s="116">
        <v>13.7</v>
      </c>
      <c r="M86" s="116">
        <v>13.7</v>
      </c>
      <c r="N86" s="116">
        <v>13.5</v>
      </c>
      <c r="O86" s="116">
        <v>0</v>
      </c>
      <c r="P86" s="116"/>
      <c r="Q86" s="22"/>
    </row>
    <row r="87" spans="1:17" ht="30" x14ac:dyDescent="0.25">
      <c r="A87" s="139" t="s">
        <v>17</v>
      </c>
      <c r="B87" s="139"/>
      <c r="C87" s="140"/>
      <c r="D87" s="141">
        <v>5077.7</v>
      </c>
      <c r="E87" s="141">
        <v>5064.8999999999996</v>
      </c>
      <c r="F87" s="141">
        <v>4387.4999999999991</v>
      </c>
      <c r="G87" s="141">
        <v>12.8</v>
      </c>
      <c r="H87" s="141">
        <f t="shared" ref="H87:K87" si="3">SUBTOTAL(9,H88:H92)</f>
        <v>3333.7000000000003</v>
      </c>
      <c r="I87" s="141">
        <f t="shared" si="3"/>
        <v>3320.9</v>
      </c>
      <c r="J87" s="141">
        <f t="shared" si="3"/>
        <v>2864.7</v>
      </c>
      <c r="K87" s="141">
        <f t="shared" si="3"/>
        <v>12.8</v>
      </c>
      <c r="L87" s="141">
        <v>2482.3000000000002</v>
      </c>
      <c r="M87" s="141">
        <v>2469.5</v>
      </c>
      <c r="N87" s="141">
        <v>2156.4</v>
      </c>
      <c r="O87" s="141">
        <v>12.8</v>
      </c>
      <c r="P87" s="141">
        <f>SUM(L87/D87*100)</f>
        <v>48.886306792445403</v>
      </c>
      <c r="Q87" s="141">
        <f>SUM(L87/H87*100)</f>
        <v>74.46080931097579</v>
      </c>
    </row>
    <row r="88" spans="1:17" ht="12" customHeight="1" x14ac:dyDescent="0.25">
      <c r="A88" s="183"/>
      <c r="B88" s="212" t="s">
        <v>248</v>
      </c>
      <c r="C88" s="115" t="s">
        <v>250</v>
      </c>
      <c r="D88" s="116">
        <v>3513.1</v>
      </c>
      <c r="E88" s="116">
        <v>3500.3</v>
      </c>
      <c r="F88" s="116">
        <v>3359.4</v>
      </c>
      <c r="G88" s="116">
        <v>12.8</v>
      </c>
      <c r="H88" s="116">
        <v>2332.8000000000002</v>
      </c>
      <c r="I88" s="116">
        <v>2320</v>
      </c>
      <c r="J88" s="116">
        <v>2240.6999999999998</v>
      </c>
      <c r="K88" s="116">
        <v>12.8</v>
      </c>
      <c r="L88" s="116">
        <v>1752.4</v>
      </c>
      <c r="M88" s="116">
        <v>1739.6</v>
      </c>
      <c r="N88" s="116">
        <v>1693.7</v>
      </c>
      <c r="O88" s="116">
        <v>12.8</v>
      </c>
      <c r="P88" s="141"/>
      <c r="Q88" s="141"/>
    </row>
    <row r="89" spans="1:17" ht="12" customHeight="1" x14ac:dyDescent="0.25">
      <c r="A89" s="183"/>
      <c r="B89" s="212"/>
      <c r="C89" s="115" t="s">
        <v>251</v>
      </c>
      <c r="D89" s="116">
        <v>9.4</v>
      </c>
      <c r="E89" s="116">
        <v>9.4</v>
      </c>
      <c r="F89" s="116">
        <v>9.1999999999999993</v>
      </c>
      <c r="G89" s="116">
        <v>0</v>
      </c>
      <c r="H89" s="116">
        <v>8.1999999999999993</v>
      </c>
      <c r="I89" s="116">
        <v>8.1999999999999993</v>
      </c>
      <c r="J89" s="116">
        <v>8</v>
      </c>
      <c r="K89" s="116">
        <v>0</v>
      </c>
      <c r="L89" s="116">
        <v>8.1999999999999993</v>
      </c>
      <c r="M89" s="116">
        <v>8.1999999999999993</v>
      </c>
      <c r="N89" s="116">
        <v>8</v>
      </c>
      <c r="O89" s="116">
        <v>0</v>
      </c>
      <c r="P89" s="141"/>
      <c r="Q89" s="141"/>
    </row>
    <row r="90" spans="1:17" ht="12" customHeight="1" x14ac:dyDescent="0.25">
      <c r="A90" s="183"/>
      <c r="B90" s="212"/>
      <c r="C90" s="115" t="s">
        <v>264</v>
      </c>
      <c r="D90" s="116">
        <v>237</v>
      </c>
      <c r="E90" s="116">
        <v>237</v>
      </c>
      <c r="F90" s="116">
        <v>23.7</v>
      </c>
      <c r="G90" s="116">
        <v>0</v>
      </c>
      <c r="H90" s="116">
        <v>136.5</v>
      </c>
      <c r="I90" s="116">
        <v>136.5</v>
      </c>
      <c r="J90" s="116">
        <v>15.8</v>
      </c>
      <c r="K90" s="116">
        <v>0</v>
      </c>
      <c r="L90" s="116">
        <v>122.4</v>
      </c>
      <c r="M90" s="116">
        <v>122.4</v>
      </c>
      <c r="N90" s="116">
        <v>10.5</v>
      </c>
      <c r="O90" s="116">
        <v>0</v>
      </c>
      <c r="P90" s="141"/>
      <c r="Q90" s="141"/>
    </row>
    <row r="91" spans="1:17" ht="12" customHeight="1" x14ac:dyDescent="0.25">
      <c r="A91" s="183"/>
      <c r="B91" s="212"/>
      <c r="C91" s="115" t="s">
        <v>252</v>
      </c>
      <c r="D91" s="116">
        <v>1278.8</v>
      </c>
      <c r="E91" s="116">
        <v>1278.8</v>
      </c>
      <c r="F91" s="116">
        <v>956.5</v>
      </c>
      <c r="G91" s="116">
        <v>0</v>
      </c>
      <c r="H91" s="116">
        <v>829.9</v>
      </c>
      <c r="I91" s="116">
        <v>829.9</v>
      </c>
      <c r="J91" s="116">
        <v>574.5</v>
      </c>
      <c r="K91" s="116">
        <v>0</v>
      </c>
      <c r="L91" s="116">
        <v>580.5</v>
      </c>
      <c r="M91" s="116">
        <v>580.5</v>
      </c>
      <c r="N91" s="116">
        <v>425.7</v>
      </c>
      <c r="O91" s="116">
        <v>0</v>
      </c>
      <c r="P91" s="141"/>
      <c r="Q91" s="141"/>
    </row>
    <row r="92" spans="1:17" ht="12" customHeight="1" x14ac:dyDescent="0.25">
      <c r="A92" s="183"/>
      <c r="B92" s="212"/>
      <c r="C92" s="115" t="s">
        <v>254</v>
      </c>
      <c r="D92" s="116">
        <v>39.4</v>
      </c>
      <c r="E92" s="116">
        <v>39.4</v>
      </c>
      <c r="F92" s="116">
        <v>38.700000000000003</v>
      </c>
      <c r="G92" s="116">
        <v>0</v>
      </c>
      <c r="H92" s="116">
        <v>26.3</v>
      </c>
      <c r="I92" s="116">
        <v>26.3</v>
      </c>
      <c r="J92" s="116">
        <v>25.7</v>
      </c>
      <c r="K92" s="116">
        <v>0</v>
      </c>
      <c r="L92" s="116">
        <v>18.8</v>
      </c>
      <c r="M92" s="116">
        <v>18.8</v>
      </c>
      <c r="N92" s="116">
        <v>18.5</v>
      </c>
      <c r="O92" s="116">
        <v>0</v>
      </c>
      <c r="P92" s="141"/>
      <c r="Q92" s="141"/>
    </row>
    <row r="93" spans="1:17" ht="30" x14ac:dyDescent="0.25">
      <c r="A93" s="139" t="s">
        <v>171</v>
      </c>
      <c r="B93" s="139"/>
      <c r="C93" s="140"/>
      <c r="D93" s="141">
        <v>4469.2999999999993</v>
      </c>
      <c r="E93" s="141">
        <v>4465.0999999999995</v>
      </c>
      <c r="F93" s="141">
        <v>3923.0999999999995</v>
      </c>
      <c r="G93" s="141">
        <v>4.2</v>
      </c>
      <c r="H93" s="141">
        <f t="shared" ref="H93:K93" si="4">SUBTOTAL(9,H94:H98)</f>
        <v>2909.3</v>
      </c>
      <c r="I93" s="141">
        <f t="shared" si="4"/>
        <v>2908.1000000000004</v>
      </c>
      <c r="J93" s="141">
        <f t="shared" si="4"/>
        <v>2543.6000000000004</v>
      </c>
      <c r="K93" s="141">
        <f t="shared" si="4"/>
        <v>1.2</v>
      </c>
      <c r="L93" s="141">
        <v>2119.4</v>
      </c>
      <c r="M93" s="141">
        <v>2118.1999999999998</v>
      </c>
      <c r="N93" s="141">
        <v>1848.9999999999998</v>
      </c>
      <c r="O93" s="141">
        <v>1.2</v>
      </c>
      <c r="P93" s="141">
        <f>SUM(L93/D93*100)</f>
        <v>47.421296399883659</v>
      </c>
      <c r="Q93" s="141">
        <f>SUM(L93/H93*100)</f>
        <v>72.849138968136657</v>
      </c>
    </row>
    <row r="94" spans="1:17" ht="12" customHeight="1" x14ac:dyDescent="0.25">
      <c r="A94" s="183"/>
      <c r="B94" s="212" t="s">
        <v>248</v>
      </c>
      <c r="C94" s="115" t="s">
        <v>250</v>
      </c>
      <c r="D94" s="116">
        <v>3090.2</v>
      </c>
      <c r="E94" s="116">
        <v>3087.2</v>
      </c>
      <c r="F94" s="116">
        <v>2956.2</v>
      </c>
      <c r="G94" s="116">
        <v>3</v>
      </c>
      <c r="H94" s="116">
        <v>2045.2</v>
      </c>
      <c r="I94" s="116">
        <v>2045.2</v>
      </c>
      <c r="J94" s="116">
        <v>1971.9</v>
      </c>
      <c r="K94" s="116">
        <v>0</v>
      </c>
      <c r="L94" s="116">
        <v>1462.1</v>
      </c>
      <c r="M94" s="116">
        <v>1462.1</v>
      </c>
      <c r="N94" s="116">
        <v>1423.1</v>
      </c>
      <c r="O94" s="116">
        <v>0</v>
      </c>
      <c r="P94" s="116"/>
      <c r="Q94" s="22"/>
    </row>
    <row r="95" spans="1:17" ht="12" customHeight="1" x14ac:dyDescent="0.25">
      <c r="A95" s="183"/>
      <c r="B95" s="212"/>
      <c r="C95" s="115" t="s">
        <v>251</v>
      </c>
      <c r="D95" s="116">
        <v>15.2</v>
      </c>
      <c r="E95" s="116">
        <v>15.2</v>
      </c>
      <c r="F95" s="116">
        <v>15</v>
      </c>
      <c r="G95" s="116">
        <v>0</v>
      </c>
      <c r="H95" s="116">
        <v>13.3</v>
      </c>
      <c r="I95" s="116">
        <v>13.3</v>
      </c>
      <c r="J95" s="116">
        <v>13.1</v>
      </c>
      <c r="K95" s="116">
        <v>0</v>
      </c>
      <c r="L95" s="116">
        <v>13.3</v>
      </c>
      <c r="M95" s="116">
        <v>13.3</v>
      </c>
      <c r="N95" s="116">
        <v>13.1</v>
      </c>
      <c r="O95" s="116">
        <v>0</v>
      </c>
      <c r="P95" s="141"/>
      <c r="Q95" s="141"/>
    </row>
    <row r="96" spans="1:17" ht="12" customHeight="1" x14ac:dyDescent="0.25">
      <c r="A96" s="183"/>
      <c r="B96" s="212"/>
      <c r="C96" s="115" t="s">
        <v>264</v>
      </c>
      <c r="D96" s="116">
        <v>181.5</v>
      </c>
      <c r="E96" s="116">
        <v>181.5</v>
      </c>
      <c r="F96" s="116">
        <v>20.5</v>
      </c>
      <c r="G96" s="116">
        <v>0</v>
      </c>
      <c r="H96" s="116">
        <v>115.9</v>
      </c>
      <c r="I96" s="116">
        <v>115.9</v>
      </c>
      <c r="J96" s="116">
        <v>12.5</v>
      </c>
      <c r="K96" s="116">
        <v>0</v>
      </c>
      <c r="L96" s="116">
        <v>105.3</v>
      </c>
      <c r="M96" s="116">
        <v>105.3</v>
      </c>
      <c r="N96" s="116">
        <v>11.4</v>
      </c>
      <c r="O96" s="116">
        <v>0</v>
      </c>
      <c r="P96" s="141"/>
      <c r="Q96" s="141"/>
    </row>
    <row r="97" spans="1:17" ht="12" customHeight="1" x14ac:dyDescent="0.25">
      <c r="A97" s="183"/>
      <c r="B97" s="212"/>
      <c r="C97" s="115" t="s">
        <v>252</v>
      </c>
      <c r="D97" s="116">
        <v>1146.4000000000001</v>
      </c>
      <c r="E97" s="116">
        <v>1145.2</v>
      </c>
      <c r="F97" s="116">
        <v>898.7</v>
      </c>
      <c r="G97" s="116">
        <v>1.2</v>
      </c>
      <c r="H97" s="116">
        <v>712.6</v>
      </c>
      <c r="I97" s="116">
        <v>711.4</v>
      </c>
      <c r="J97" s="116">
        <v>524.29999999999995</v>
      </c>
      <c r="K97" s="116">
        <v>1.2</v>
      </c>
      <c r="L97" s="116">
        <v>520.9</v>
      </c>
      <c r="M97" s="116">
        <v>519.70000000000005</v>
      </c>
      <c r="N97" s="116">
        <v>383.8</v>
      </c>
      <c r="O97" s="116">
        <v>1.2</v>
      </c>
      <c r="P97" s="116"/>
      <c r="Q97" s="22"/>
    </row>
    <row r="98" spans="1:17" ht="12" customHeight="1" x14ac:dyDescent="0.25">
      <c r="A98" s="183"/>
      <c r="B98" s="212"/>
      <c r="C98" s="115" t="s">
        <v>254</v>
      </c>
      <c r="D98" s="116">
        <v>36</v>
      </c>
      <c r="E98" s="116">
        <v>36</v>
      </c>
      <c r="F98" s="116">
        <v>32.700000000000003</v>
      </c>
      <c r="G98" s="116">
        <v>0</v>
      </c>
      <c r="H98" s="116">
        <v>22.3</v>
      </c>
      <c r="I98" s="116">
        <v>22.3</v>
      </c>
      <c r="J98" s="116">
        <v>21.8</v>
      </c>
      <c r="K98" s="116">
        <v>0</v>
      </c>
      <c r="L98" s="116">
        <v>17.8</v>
      </c>
      <c r="M98" s="116">
        <v>17.8</v>
      </c>
      <c r="N98" s="116">
        <v>17.600000000000001</v>
      </c>
      <c r="O98" s="116">
        <v>0</v>
      </c>
      <c r="P98" s="116"/>
      <c r="Q98" s="22"/>
    </row>
    <row r="99" spans="1:17" ht="30" x14ac:dyDescent="0.25">
      <c r="A99" s="139" t="s">
        <v>307</v>
      </c>
      <c r="B99" s="139"/>
      <c r="C99" s="140"/>
      <c r="D99" s="141">
        <v>5504</v>
      </c>
      <c r="E99" s="141">
        <v>5504</v>
      </c>
      <c r="F99" s="141">
        <v>4890.5</v>
      </c>
      <c r="G99" s="141">
        <v>0</v>
      </c>
      <c r="H99" s="141">
        <f t="shared" ref="H99:K99" si="5">SUBTOTAL(9,H100:H103)</f>
        <v>3451.0000000000005</v>
      </c>
      <c r="I99" s="141">
        <f t="shared" si="5"/>
        <v>3451.0000000000005</v>
      </c>
      <c r="J99" s="141">
        <f t="shared" si="5"/>
        <v>3044.3</v>
      </c>
      <c r="K99" s="141">
        <f t="shared" si="5"/>
        <v>0</v>
      </c>
      <c r="L99" s="141">
        <v>2861.1</v>
      </c>
      <c r="M99" s="141">
        <v>2861.1</v>
      </c>
      <c r="N99" s="141">
        <v>2582.6999999999998</v>
      </c>
      <c r="O99" s="141">
        <v>0</v>
      </c>
      <c r="P99" s="141">
        <f>SUM(L99/D99*100)</f>
        <v>51.982194767441861</v>
      </c>
      <c r="Q99" s="141">
        <f>SUM(L99/H99*100)</f>
        <v>82.90640394088669</v>
      </c>
    </row>
    <row r="100" spans="1:17" ht="12" customHeight="1" x14ac:dyDescent="0.25">
      <c r="A100" s="183"/>
      <c r="B100" s="212" t="s">
        <v>248</v>
      </c>
      <c r="C100" s="115" t="s">
        <v>250</v>
      </c>
      <c r="D100" s="116">
        <v>3663.2</v>
      </c>
      <c r="E100" s="116">
        <v>3663.2</v>
      </c>
      <c r="F100" s="116">
        <v>3522.2</v>
      </c>
      <c r="G100" s="116">
        <v>0</v>
      </c>
      <c r="H100" s="116">
        <v>2431.9</v>
      </c>
      <c r="I100" s="116">
        <v>2431.9</v>
      </c>
      <c r="J100" s="116">
        <v>2349.3000000000002</v>
      </c>
      <c r="K100" s="116">
        <v>0</v>
      </c>
      <c r="L100" s="116">
        <v>1943.3</v>
      </c>
      <c r="M100" s="116">
        <v>1943.3</v>
      </c>
      <c r="N100" s="116">
        <v>1901.9</v>
      </c>
      <c r="O100" s="116">
        <v>0</v>
      </c>
      <c r="P100" s="141"/>
      <c r="Q100" s="141"/>
    </row>
    <row r="101" spans="1:17" ht="12" customHeight="1" x14ac:dyDescent="0.25">
      <c r="A101" s="183"/>
      <c r="B101" s="212"/>
      <c r="C101" s="115" t="s">
        <v>264</v>
      </c>
      <c r="D101" s="116">
        <v>118.7</v>
      </c>
      <c r="E101" s="116">
        <v>118.7</v>
      </c>
      <c r="F101" s="116">
        <v>0</v>
      </c>
      <c r="G101" s="116">
        <v>0</v>
      </c>
      <c r="H101" s="116">
        <v>81.8</v>
      </c>
      <c r="I101" s="116">
        <v>81.8</v>
      </c>
      <c r="J101" s="116">
        <v>0</v>
      </c>
      <c r="K101" s="116">
        <v>0</v>
      </c>
      <c r="L101" s="116">
        <v>63.1</v>
      </c>
      <c r="M101" s="116">
        <v>63.1</v>
      </c>
      <c r="N101" s="116">
        <v>0</v>
      </c>
      <c r="O101" s="116">
        <v>0</v>
      </c>
      <c r="P101" s="141"/>
      <c r="Q101" s="141"/>
    </row>
    <row r="102" spans="1:17" ht="12" customHeight="1" x14ac:dyDescent="0.25">
      <c r="A102" s="183"/>
      <c r="B102" s="212"/>
      <c r="C102" s="115" t="s">
        <v>252</v>
      </c>
      <c r="D102" s="116">
        <v>1522.5</v>
      </c>
      <c r="E102" s="116">
        <v>1522.5</v>
      </c>
      <c r="F102" s="116">
        <v>1171.5</v>
      </c>
      <c r="G102" s="116">
        <v>0</v>
      </c>
      <c r="H102" s="116">
        <v>828.7</v>
      </c>
      <c r="I102" s="116">
        <v>828.7</v>
      </c>
      <c r="J102" s="116">
        <v>588</v>
      </c>
      <c r="K102" s="116">
        <v>0</v>
      </c>
      <c r="L102" s="116">
        <v>751.2</v>
      </c>
      <c r="M102" s="116">
        <v>751.2</v>
      </c>
      <c r="N102" s="116">
        <v>578.79999999999995</v>
      </c>
      <c r="O102" s="116">
        <v>0</v>
      </c>
      <c r="P102" s="141"/>
      <c r="Q102" s="141"/>
    </row>
    <row r="103" spans="1:17" ht="12" customHeight="1" x14ac:dyDescent="0.25">
      <c r="A103" s="183"/>
      <c r="B103" s="212"/>
      <c r="C103" s="115" t="s">
        <v>254</v>
      </c>
      <c r="D103" s="116">
        <v>199.6</v>
      </c>
      <c r="E103" s="116">
        <v>199.6</v>
      </c>
      <c r="F103" s="116">
        <v>196.8</v>
      </c>
      <c r="G103" s="116">
        <v>0</v>
      </c>
      <c r="H103" s="116">
        <v>108.6</v>
      </c>
      <c r="I103" s="116">
        <v>108.6</v>
      </c>
      <c r="J103" s="116">
        <v>107</v>
      </c>
      <c r="K103" s="116">
        <v>0</v>
      </c>
      <c r="L103" s="116">
        <v>103.5</v>
      </c>
      <c r="M103" s="116">
        <v>103.5</v>
      </c>
      <c r="N103" s="116">
        <v>102</v>
      </c>
      <c r="O103" s="116">
        <v>0</v>
      </c>
      <c r="P103" s="116"/>
      <c r="Q103" s="22"/>
    </row>
    <row r="104" spans="1:17" ht="30" x14ac:dyDescent="0.25">
      <c r="A104" s="139" t="s">
        <v>308</v>
      </c>
      <c r="B104" s="139"/>
      <c r="C104" s="140"/>
      <c r="D104" s="141">
        <v>4017.1</v>
      </c>
      <c r="E104" s="141">
        <v>4003.6</v>
      </c>
      <c r="F104" s="141">
        <v>3578.6000000000004</v>
      </c>
      <c r="G104" s="141">
        <v>13.5</v>
      </c>
      <c r="H104" s="141">
        <f t="shared" ref="H104:K104" si="6">SUBTOTAL(9,H105:H109)</f>
        <v>2644.2000000000003</v>
      </c>
      <c r="I104" s="141">
        <f t="shared" si="6"/>
        <v>2630.7000000000003</v>
      </c>
      <c r="J104" s="141">
        <f t="shared" si="6"/>
        <v>2319.6999999999998</v>
      </c>
      <c r="K104" s="141">
        <f t="shared" si="6"/>
        <v>13.5</v>
      </c>
      <c r="L104" s="141">
        <v>2234.4</v>
      </c>
      <c r="M104" s="141">
        <v>2223.9</v>
      </c>
      <c r="N104" s="141">
        <v>2009.2</v>
      </c>
      <c r="O104" s="141">
        <v>10.5</v>
      </c>
      <c r="P104" s="141">
        <f>SUM(L104/D104*100)</f>
        <v>55.622215030743568</v>
      </c>
      <c r="Q104" s="141">
        <f>SUM(L104/H104*100)</f>
        <v>84.501928749716356</v>
      </c>
    </row>
    <row r="105" spans="1:17" ht="12" customHeight="1" x14ac:dyDescent="0.25">
      <c r="A105" s="183"/>
      <c r="B105" s="212" t="s">
        <v>248</v>
      </c>
      <c r="C105" s="115" t="s">
        <v>250</v>
      </c>
      <c r="D105" s="116">
        <v>2260.6999999999998</v>
      </c>
      <c r="E105" s="116">
        <v>2257.6999999999998</v>
      </c>
      <c r="F105" s="116">
        <v>2188.8000000000002</v>
      </c>
      <c r="G105" s="116">
        <v>3</v>
      </c>
      <c r="H105" s="116">
        <v>1479.4</v>
      </c>
      <c r="I105" s="116">
        <v>1476.4</v>
      </c>
      <c r="J105" s="116">
        <v>1429</v>
      </c>
      <c r="K105" s="116">
        <v>3</v>
      </c>
      <c r="L105" s="116">
        <v>1288.4000000000001</v>
      </c>
      <c r="M105" s="116">
        <v>1288.4000000000001</v>
      </c>
      <c r="N105" s="116">
        <v>1259.7</v>
      </c>
      <c r="O105" s="116">
        <v>0</v>
      </c>
      <c r="P105" s="141"/>
      <c r="Q105" s="141"/>
    </row>
    <row r="106" spans="1:17" ht="12" customHeight="1" x14ac:dyDescent="0.25">
      <c r="A106" s="183"/>
      <c r="B106" s="212"/>
      <c r="C106" s="115" t="s">
        <v>251</v>
      </c>
      <c r="D106" s="116">
        <v>7.6</v>
      </c>
      <c r="E106" s="116">
        <v>7.6</v>
      </c>
      <c r="F106" s="116">
        <v>7.5</v>
      </c>
      <c r="G106" s="116">
        <v>0</v>
      </c>
      <c r="H106" s="116">
        <v>6.7</v>
      </c>
      <c r="I106" s="116">
        <v>6.7</v>
      </c>
      <c r="J106" s="116">
        <v>6.6</v>
      </c>
      <c r="K106" s="116">
        <v>0</v>
      </c>
      <c r="L106" s="116">
        <v>6.7</v>
      </c>
      <c r="M106" s="116">
        <v>6.7</v>
      </c>
      <c r="N106" s="116">
        <v>6.6</v>
      </c>
      <c r="O106" s="116">
        <v>0</v>
      </c>
      <c r="P106" s="116"/>
      <c r="Q106" s="22"/>
    </row>
    <row r="107" spans="1:17" ht="12" customHeight="1" x14ac:dyDescent="0.25">
      <c r="A107" s="183"/>
      <c r="B107" s="212"/>
      <c r="C107" s="115" t="s">
        <v>264</v>
      </c>
      <c r="D107" s="116">
        <v>98.9</v>
      </c>
      <c r="E107" s="116">
        <v>98.9</v>
      </c>
      <c r="F107" s="116">
        <v>9.9</v>
      </c>
      <c r="G107" s="116">
        <v>0</v>
      </c>
      <c r="H107" s="116">
        <v>66.599999999999994</v>
      </c>
      <c r="I107" s="116">
        <v>66.599999999999994</v>
      </c>
      <c r="J107" s="116">
        <v>7</v>
      </c>
      <c r="K107" s="116">
        <v>0</v>
      </c>
      <c r="L107" s="116">
        <v>42.8</v>
      </c>
      <c r="M107" s="116">
        <v>42.8</v>
      </c>
      <c r="N107" s="116">
        <v>4.2</v>
      </c>
      <c r="O107" s="116">
        <v>0</v>
      </c>
      <c r="P107" s="141"/>
      <c r="Q107" s="141"/>
    </row>
    <row r="108" spans="1:17" ht="12" customHeight="1" x14ac:dyDescent="0.25">
      <c r="A108" s="183"/>
      <c r="B108" s="212"/>
      <c r="C108" s="115" t="s">
        <v>252</v>
      </c>
      <c r="D108" s="116">
        <v>1614.6</v>
      </c>
      <c r="E108" s="116">
        <v>1604.1</v>
      </c>
      <c r="F108" s="116">
        <v>1337.6</v>
      </c>
      <c r="G108" s="116">
        <v>10.5</v>
      </c>
      <c r="H108" s="116">
        <v>1067.9000000000001</v>
      </c>
      <c r="I108" s="116">
        <v>1057.4000000000001</v>
      </c>
      <c r="J108" s="116">
        <v>854</v>
      </c>
      <c r="K108" s="116">
        <v>10.5</v>
      </c>
      <c r="L108" s="116">
        <v>873</v>
      </c>
      <c r="M108" s="116">
        <v>862.5</v>
      </c>
      <c r="N108" s="116">
        <v>715.7</v>
      </c>
      <c r="O108" s="116">
        <v>10.5</v>
      </c>
      <c r="P108" s="141"/>
      <c r="Q108" s="141"/>
    </row>
    <row r="109" spans="1:17" ht="12" customHeight="1" x14ac:dyDescent="0.25">
      <c r="A109" s="183"/>
      <c r="B109" s="212"/>
      <c r="C109" s="115" t="s">
        <v>254</v>
      </c>
      <c r="D109" s="116">
        <v>35.299999999999997</v>
      </c>
      <c r="E109" s="116">
        <v>35.299999999999997</v>
      </c>
      <c r="F109" s="116">
        <v>34.799999999999997</v>
      </c>
      <c r="G109" s="116">
        <v>0</v>
      </c>
      <c r="H109" s="116">
        <v>23.6</v>
      </c>
      <c r="I109" s="116">
        <v>23.6</v>
      </c>
      <c r="J109" s="116">
        <v>23.1</v>
      </c>
      <c r="K109" s="116">
        <v>0</v>
      </c>
      <c r="L109" s="116">
        <v>23.5</v>
      </c>
      <c r="M109" s="116">
        <v>23.5</v>
      </c>
      <c r="N109" s="116">
        <v>23</v>
      </c>
      <c r="O109" s="116">
        <v>0</v>
      </c>
      <c r="P109" s="141"/>
      <c r="Q109" s="141"/>
    </row>
    <row r="110" spans="1:17" ht="30" x14ac:dyDescent="0.25">
      <c r="A110" s="139" t="s">
        <v>309</v>
      </c>
      <c r="B110" s="139"/>
      <c r="C110" s="140"/>
      <c r="D110" s="141">
        <v>1168.6000000000001</v>
      </c>
      <c r="E110" s="141">
        <v>1165.7</v>
      </c>
      <c r="F110" s="141">
        <v>989.1</v>
      </c>
      <c r="G110" s="141">
        <v>2.9</v>
      </c>
      <c r="H110" s="141">
        <f t="shared" ref="H110:K110" si="7">SUBTOTAL(9,H111:H115)</f>
        <v>779.1</v>
      </c>
      <c r="I110" s="141">
        <f t="shared" si="7"/>
        <v>779.1</v>
      </c>
      <c r="J110" s="141">
        <f t="shared" si="7"/>
        <v>661.1</v>
      </c>
      <c r="K110" s="141">
        <f t="shared" si="7"/>
        <v>0</v>
      </c>
      <c r="L110" s="141">
        <v>667.2</v>
      </c>
      <c r="M110" s="141">
        <v>667.2</v>
      </c>
      <c r="N110" s="141">
        <v>596</v>
      </c>
      <c r="O110" s="141">
        <v>0</v>
      </c>
      <c r="P110" s="141">
        <f>SUM(L110/D110*100)</f>
        <v>57.093958582919733</v>
      </c>
      <c r="Q110" s="141">
        <f>SUM(L110/H110*100)</f>
        <v>85.63727377743551</v>
      </c>
    </row>
    <row r="111" spans="1:17" ht="12" customHeight="1" x14ac:dyDescent="0.25">
      <c r="A111" s="183"/>
      <c r="B111" s="212" t="s">
        <v>248</v>
      </c>
      <c r="C111" s="115" t="s">
        <v>250</v>
      </c>
      <c r="D111" s="116">
        <v>476.7</v>
      </c>
      <c r="E111" s="116">
        <v>473.8</v>
      </c>
      <c r="F111" s="116">
        <v>460.1</v>
      </c>
      <c r="G111" s="116">
        <v>2.9</v>
      </c>
      <c r="H111" s="116">
        <v>315.89999999999998</v>
      </c>
      <c r="I111" s="116">
        <v>315.89999999999998</v>
      </c>
      <c r="J111" s="116">
        <v>306.89999999999998</v>
      </c>
      <c r="K111" s="116">
        <v>0</v>
      </c>
      <c r="L111" s="116">
        <v>262.8</v>
      </c>
      <c r="M111" s="116">
        <v>262.8</v>
      </c>
      <c r="N111" s="116">
        <v>257.2</v>
      </c>
      <c r="O111" s="116">
        <v>0</v>
      </c>
      <c r="P111" s="141"/>
      <c r="Q111" s="141"/>
    </row>
    <row r="112" spans="1:17" ht="12" customHeight="1" x14ac:dyDescent="0.25">
      <c r="A112" s="183"/>
      <c r="B112" s="212"/>
      <c r="C112" s="115" t="s">
        <v>251</v>
      </c>
      <c r="D112" s="116">
        <v>1.7</v>
      </c>
      <c r="E112" s="116">
        <v>1.7</v>
      </c>
      <c r="F112" s="116">
        <v>1.7</v>
      </c>
      <c r="G112" s="116">
        <v>0</v>
      </c>
      <c r="H112" s="116">
        <v>1.5</v>
      </c>
      <c r="I112" s="116">
        <v>1.5</v>
      </c>
      <c r="J112" s="116">
        <v>1.5</v>
      </c>
      <c r="K112" s="116">
        <v>0</v>
      </c>
      <c r="L112" s="116">
        <v>1.5</v>
      </c>
      <c r="M112" s="116">
        <v>1.5</v>
      </c>
      <c r="N112" s="116">
        <v>1.5</v>
      </c>
      <c r="O112" s="116">
        <v>0</v>
      </c>
      <c r="P112" s="116"/>
      <c r="Q112" s="22"/>
    </row>
    <row r="113" spans="1:17" ht="12" customHeight="1" x14ac:dyDescent="0.25">
      <c r="A113" s="183"/>
      <c r="B113" s="212"/>
      <c r="C113" s="115" t="s">
        <v>264</v>
      </c>
      <c r="D113" s="116">
        <v>56</v>
      </c>
      <c r="E113" s="116">
        <v>56</v>
      </c>
      <c r="F113" s="116">
        <v>6.5</v>
      </c>
      <c r="G113" s="116">
        <v>0</v>
      </c>
      <c r="H113" s="116">
        <v>29.2</v>
      </c>
      <c r="I113" s="116">
        <v>29.2</v>
      </c>
      <c r="J113" s="116">
        <v>4.3</v>
      </c>
      <c r="K113" s="116">
        <v>0</v>
      </c>
      <c r="L113" s="116">
        <v>18.8</v>
      </c>
      <c r="M113" s="116">
        <v>18.8</v>
      </c>
      <c r="N113" s="116">
        <v>1.9</v>
      </c>
      <c r="O113" s="116">
        <v>0</v>
      </c>
      <c r="P113" s="141"/>
      <c r="Q113" s="141"/>
    </row>
    <row r="114" spans="1:17" ht="12" customHeight="1" x14ac:dyDescent="0.25">
      <c r="A114" s="183"/>
      <c r="B114" s="212"/>
      <c r="C114" s="115" t="s">
        <v>252</v>
      </c>
      <c r="D114" s="116">
        <v>628</v>
      </c>
      <c r="E114" s="116">
        <v>628</v>
      </c>
      <c r="F114" s="116">
        <v>514.70000000000005</v>
      </c>
      <c r="G114" s="116">
        <v>0</v>
      </c>
      <c r="H114" s="116">
        <v>428.3</v>
      </c>
      <c r="I114" s="116">
        <v>428.3</v>
      </c>
      <c r="J114" s="116">
        <v>344.3</v>
      </c>
      <c r="K114" s="116">
        <v>0</v>
      </c>
      <c r="L114" s="116">
        <v>379.9</v>
      </c>
      <c r="M114" s="116">
        <v>379.9</v>
      </c>
      <c r="N114" s="116">
        <v>331.3</v>
      </c>
      <c r="O114" s="116">
        <v>0</v>
      </c>
      <c r="P114" s="141"/>
      <c r="Q114" s="141"/>
    </row>
    <row r="115" spans="1:17" ht="12" customHeight="1" x14ac:dyDescent="0.25">
      <c r="A115" s="183"/>
      <c r="B115" s="212"/>
      <c r="C115" s="115" t="s">
        <v>254</v>
      </c>
      <c r="D115" s="116">
        <v>6.2</v>
      </c>
      <c r="E115" s="116">
        <v>6.2</v>
      </c>
      <c r="F115" s="116">
        <v>6.1</v>
      </c>
      <c r="G115" s="116">
        <v>0</v>
      </c>
      <c r="H115" s="116">
        <v>4.2</v>
      </c>
      <c r="I115" s="116">
        <v>4.2</v>
      </c>
      <c r="J115" s="116">
        <v>4.0999999999999996</v>
      </c>
      <c r="K115" s="116">
        <v>0</v>
      </c>
      <c r="L115" s="116">
        <v>4.2</v>
      </c>
      <c r="M115" s="116">
        <v>4.2</v>
      </c>
      <c r="N115" s="116">
        <v>4.0999999999999996</v>
      </c>
      <c r="O115" s="116">
        <v>0</v>
      </c>
      <c r="P115" s="141"/>
      <c r="Q115" s="141"/>
    </row>
    <row r="116" spans="1:17" ht="30" x14ac:dyDescent="0.25">
      <c r="A116" s="139" t="s">
        <v>310</v>
      </c>
      <c r="B116" s="139"/>
      <c r="C116" s="140"/>
      <c r="D116" s="141">
        <v>4051.2000000000003</v>
      </c>
      <c r="E116" s="141">
        <v>4043.8</v>
      </c>
      <c r="F116" s="141">
        <v>3628.1</v>
      </c>
      <c r="G116" s="141">
        <v>7.4</v>
      </c>
      <c r="H116" s="141">
        <f t="shared" ref="H116:K116" si="8">SUBTOTAL(9,H117:H121)</f>
        <v>2498.8999999999996</v>
      </c>
      <c r="I116" s="141">
        <f t="shared" si="8"/>
        <v>2491.5</v>
      </c>
      <c r="J116" s="141">
        <f t="shared" si="8"/>
        <v>2213.3000000000002</v>
      </c>
      <c r="K116" s="141">
        <f t="shared" si="8"/>
        <v>7.4</v>
      </c>
      <c r="L116" s="141">
        <v>2179.2999999999997</v>
      </c>
      <c r="M116" s="141">
        <v>2174.2999999999997</v>
      </c>
      <c r="N116" s="141">
        <v>1983.5</v>
      </c>
      <c r="O116" s="141">
        <v>5</v>
      </c>
      <c r="P116" s="141">
        <f>SUM(L116/D116*100)</f>
        <v>53.793937598736164</v>
      </c>
      <c r="Q116" s="141">
        <f>SUM(L116/H116*100)</f>
        <v>87.210372563928132</v>
      </c>
    </row>
    <row r="117" spans="1:17" ht="12" customHeight="1" x14ac:dyDescent="0.25">
      <c r="A117" s="183"/>
      <c r="B117" s="212" t="s">
        <v>248</v>
      </c>
      <c r="C117" s="115" t="s">
        <v>250</v>
      </c>
      <c r="D117" s="116">
        <v>2285</v>
      </c>
      <c r="E117" s="116">
        <v>2285</v>
      </c>
      <c r="F117" s="116">
        <v>2207.1999999999998</v>
      </c>
      <c r="G117" s="116">
        <v>0</v>
      </c>
      <c r="H117" s="116">
        <v>1524.9</v>
      </c>
      <c r="I117" s="116">
        <v>1524.9</v>
      </c>
      <c r="J117" s="116">
        <v>1472.2</v>
      </c>
      <c r="K117" s="116">
        <v>0</v>
      </c>
      <c r="L117" s="116">
        <v>1293.5999999999999</v>
      </c>
      <c r="M117" s="116">
        <v>1293.5999999999999</v>
      </c>
      <c r="N117" s="116">
        <v>1260.0999999999999</v>
      </c>
      <c r="O117" s="116">
        <v>0</v>
      </c>
      <c r="P117" s="141"/>
      <c r="Q117" s="141"/>
    </row>
    <row r="118" spans="1:17" ht="12" customHeight="1" x14ac:dyDescent="0.25">
      <c r="A118" s="183"/>
      <c r="B118" s="212"/>
      <c r="C118" s="115" t="s">
        <v>251</v>
      </c>
      <c r="D118" s="116">
        <v>9.3000000000000007</v>
      </c>
      <c r="E118" s="116">
        <v>9.3000000000000007</v>
      </c>
      <c r="F118" s="116">
        <v>9.1</v>
      </c>
      <c r="G118" s="116">
        <v>0</v>
      </c>
      <c r="H118" s="116">
        <v>8.1999999999999993</v>
      </c>
      <c r="I118" s="116">
        <v>8.1999999999999993</v>
      </c>
      <c r="J118" s="116">
        <v>8</v>
      </c>
      <c r="K118" s="116">
        <v>0</v>
      </c>
      <c r="L118" s="116">
        <v>8.1999999999999993</v>
      </c>
      <c r="M118" s="116">
        <v>8.1999999999999993</v>
      </c>
      <c r="N118" s="116">
        <v>8</v>
      </c>
      <c r="O118" s="116">
        <v>0</v>
      </c>
      <c r="P118" s="116"/>
      <c r="Q118" s="22"/>
    </row>
    <row r="119" spans="1:17" ht="12" customHeight="1" x14ac:dyDescent="0.25">
      <c r="A119" s="183"/>
      <c r="B119" s="212"/>
      <c r="C119" s="115" t="s">
        <v>264</v>
      </c>
      <c r="D119" s="116">
        <v>133.4</v>
      </c>
      <c r="E119" s="116">
        <v>133.4</v>
      </c>
      <c r="F119" s="116">
        <v>13.6</v>
      </c>
      <c r="G119" s="116">
        <v>0</v>
      </c>
      <c r="H119" s="116">
        <v>84.1</v>
      </c>
      <c r="I119" s="116">
        <v>84.1</v>
      </c>
      <c r="J119" s="116">
        <v>6.9</v>
      </c>
      <c r="K119" s="116">
        <v>0</v>
      </c>
      <c r="L119" s="116">
        <v>63.5</v>
      </c>
      <c r="M119" s="116">
        <v>63.5</v>
      </c>
      <c r="N119" s="116">
        <v>5.9</v>
      </c>
      <c r="O119" s="116">
        <v>0</v>
      </c>
      <c r="P119" s="141"/>
      <c r="Q119" s="141"/>
    </row>
    <row r="120" spans="1:17" ht="12" customHeight="1" x14ac:dyDescent="0.25">
      <c r="A120" s="183"/>
      <c r="B120" s="212"/>
      <c r="C120" s="115" t="s">
        <v>252</v>
      </c>
      <c r="D120" s="116">
        <v>1605.9</v>
      </c>
      <c r="E120" s="116">
        <v>1598.5</v>
      </c>
      <c r="F120" s="116">
        <v>1380.9</v>
      </c>
      <c r="G120" s="116">
        <v>7.4</v>
      </c>
      <c r="H120" s="116">
        <v>870</v>
      </c>
      <c r="I120" s="116">
        <v>862.6</v>
      </c>
      <c r="J120" s="116">
        <v>714.8</v>
      </c>
      <c r="K120" s="116">
        <v>7.4</v>
      </c>
      <c r="L120" s="116">
        <v>802.3</v>
      </c>
      <c r="M120" s="116">
        <v>797.3</v>
      </c>
      <c r="N120" s="116">
        <v>698.1</v>
      </c>
      <c r="O120" s="116">
        <v>5</v>
      </c>
      <c r="P120" s="141"/>
      <c r="Q120" s="141"/>
    </row>
    <row r="121" spans="1:17" ht="12" customHeight="1" x14ac:dyDescent="0.25">
      <c r="A121" s="183"/>
      <c r="B121" s="212"/>
      <c r="C121" s="115" t="s">
        <v>254</v>
      </c>
      <c r="D121" s="116">
        <v>17.600000000000001</v>
      </c>
      <c r="E121" s="116">
        <v>17.600000000000001</v>
      </c>
      <c r="F121" s="116">
        <v>17.3</v>
      </c>
      <c r="G121" s="116">
        <v>0</v>
      </c>
      <c r="H121" s="116">
        <v>11.7</v>
      </c>
      <c r="I121" s="116">
        <v>11.7</v>
      </c>
      <c r="J121" s="116">
        <v>11.4</v>
      </c>
      <c r="K121" s="116">
        <v>0</v>
      </c>
      <c r="L121" s="116">
        <v>11.7</v>
      </c>
      <c r="M121" s="116">
        <v>11.7</v>
      </c>
      <c r="N121" s="116">
        <v>11.4</v>
      </c>
      <c r="O121" s="116">
        <v>0</v>
      </c>
      <c r="P121" s="116"/>
      <c r="Q121" s="22"/>
    </row>
    <row r="122" spans="1:17" ht="30" x14ac:dyDescent="0.25">
      <c r="A122" s="139" t="s">
        <v>311</v>
      </c>
      <c r="B122" s="139"/>
      <c r="C122" s="140"/>
      <c r="D122" s="141">
        <v>2285.9</v>
      </c>
      <c r="E122" s="141">
        <v>2178.5</v>
      </c>
      <c r="F122" s="141">
        <v>1829.9</v>
      </c>
      <c r="G122" s="141">
        <v>107.4</v>
      </c>
      <c r="H122" s="141">
        <f t="shared" ref="H122:K122" si="9">SUBTOTAL(9,H123:H127)</f>
        <v>1410.1000000000001</v>
      </c>
      <c r="I122" s="141">
        <f t="shared" si="9"/>
        <v>1395.9</v>
      </c>
      <c r="J122" s="141">
        <f t="shared" si="9"/>
        <v>1200.3</v>
      </c>
      <c r="K122" s="141">
        <f t="shared" si="9"/>
        <v>14.2</v>
      </c>
      <c r="L122" s="141">
        <v>1070.2</v>
      </c>
      <c r="M122" s="141">
        <v>1068.3</v>
      </c>
      <c r="N122" s="141">
        <v>986.30000000000007</v>
      </c>
      <c r="O122" s="141">
        <v>1.9</v>
      </c>
      <c r="P122" s="141">
        <f>SUM(L122/D122*100)</f>
        <v>46.817446082505796</v>
      </c>
      <c r="Q122" s="141">
        <f>SUM(L122/H122*100)</f>
        <v>75.8953265725835</v>
      </c>
    </row>
    <row r="123" spans="1:17" ht="12" customHeight="1" x14ac:dyDescent="0.25">
      <c r="A123" s="183"/>
      <c r="B123" s="212" t="s">
        <v>248</v>
      </c>
      <c r="C123" s="115" t="s">
        <v>250</v>
      </c>
      <c r="D123" s="116">
        <v>1339.3</v>
      </c>
      <c r="E123" s="116">
        <v>1339.3</v>
      </c>
      <c r="F123" s="116">
        <v>1284.8</v>
      </c>
      <c r="G123" s="116">
        <v>0</v>
      </c>
      <c r="H123" s="116">
        <v>885.9</v>
      </c>
      <c r="I123" s="116">
        <v>885.9</v>
      </c>
      <c r="J123" s="116">
        <v>857</v>
      </c>
      <c r="K123" s="116">
        <v>0</v>
      </c>
      <c r="L123" s="116">
        <v>745.4</v>
      </c>
      <c r="M123" s="116">
        <v>745.4</v>
      </c>
      <c r="N123" s="116">
        <v>728.6</v>
      </c>
      <c r="O123" s="116">
        <v>0</v>
      </c>
      <c r="P123" s="141"/>
      <c r="Q123" s="141"/>
    </row>
    <row r="124" spans="1:17" ht="12" customHeight="1" x14ac:dyDescent="0.25">
      <c r="A124" s="183"/>
      <c r="B124" s="212"/>
      <c r="C124" s="115" t="s">
        <v>251</v>
      </c>
      <c r="D124" s="116">
        <v>1.9</v>
      </c>
      <c r="E124" s="116">
        <v>1.9</v>
      </c>
      <c r="F124" s="116">
        <v>1.9</v>
      </c>
      <c r="G124" s="116">
        <v>0</v>
      </c>
      <c r="H124" s="116">
        <v>1.7</v>
      </c>
      <c r="I124" s="116">
        <v>1.7</v>
      </c>
      <c r="J124" s="116">
        <v>1.7</v>
      </c>
      <c r="K124" s="116">
        <v>0</v>
      </c>
      <c r="L124" s="116">
        <v>1.7</v>
      </c>
      <c r="M124" s="116">
        <v>1.7</v>
      </c>
      <c r="N124" s="116">
        <v>1.7</v>
      </c>
      <c r="O124" s="116">
        <v>0</v>
      </c>
      <c r="P124" s="141"/>
      <c r="Q124" s="141"/>
    </row>
    <row r="125" spans="1:17" ht="12" customHeight="1" x14ac:dyDescent="0.25">
      <c r="A125" s="183"/>
      <c r="B125" s="212"/>
      <c r="C125" s="115" t="s">
        <v>264</v>
      </c>
      <c r="D125" s="116">
        <v>79.7</v>
      </c>
      <c r="E125" s="116">
        <v>79.7</v>
      </c>
      <c r="F125" s="116">
        <v>0</v>
      </c>
      <c r="G125" s="116">
        <v>0</v>
      </c>
      <c r="H125" s="116">
        <v>45</v>
      </c>
      <c r="I125" s="116">
        <v>45</v>
      </c>
      <c r="J125" s="116">
        <v>0</v>
      </c>
      <c r="K125" s="116">
        <v>0</v>
      </c>
      <c r="L125" s="116">
        <v>27.4</v>
      </c>
      <c r="M125" s="116">
        <v>27.4</v>
      </c>
      <c r="N125" s="116">
        <v>0</v>
      </c>
      <c r="O125" s="116">
        <v>0</v>
      </c>
      <c r="P125" s="141"/>
      <c r="Q125" s="141"/>
    </row>
    <row r="126" spans="1:17" ht="12" customHeight="1" x14ac:dyDescent="0.25">
      <c r="A126" s="183"/>
      <c r="B126" s="212"/>
      <c r="C126" s="115" t="s">
        <v>252</v>
      </c>
      <c r="D126" s="116">
        <v>859.4</v>
      </c>
      <c r="E126" s="116">
        <v>752</v>
      </c>
      <c r="F126" s="116">
        <v>537.70000000000005</v>
      </c>
      <c r="G126" s="116">
        <v>107.4</v>
      </c>
      <c r="H126" s="116">
        <v>473.8</v>
      </c>
      <c r="I126" s="116">
        <v>459.6</v>
      </c>
      <c r="J126" s="116">
        <v>338</v>
      </c>
      <c r="K126" s="116">
        <v>14.2</v>
      </c>
      <c r="L126" s="116">
        <v>292</v>
      </c>
      <c r="M126" s="116">
        <v>290.10000000000002</v>
      </c>
      <c r="N126" s="116">
        <v>252.4</v>
      </c>
      <c r="O126" s="116">
        <v>1.9</v>
      </c>
      <c r="P126" s="116"/>
      <c r="Q126" s="22"/>
    </row>
    <row r="127" spans="1:17" ht="12" customHeight="1" x14ac:dyDescent="0.25">
      <c r="A127" s="183"/>
      <c r="B127" s="212"/>
      <c r="C127" s="115" t="s">
        <v>254</v>
      </c>
      <c r="D127" s="116">
        <v>5.6</v>
      </c>
      <c r="E127" s="116">
        <v>5.6</v>
      </c>
      <c r="F127" s="116">
        <v>5.5</v>
      </c>
      <c r="G127" s="116">
        <v>0</v>
      </c>
      <c r="H127" s="116">
        <v>3.7</v>
      </c>
      <c r="I127" s="116">
        <v>3.7</v>
      </c>
      <c r="J127" s="116">
        <v>3.6</v>
      </c>
      <c r="K127" s="116">
        <v>0</v>
      </c>
      <c r="L127" s="116">
        <v>3.7</v>
      </c>
      <c r="M127" s="116">
        <v>3.7</v>
      </c>
      <c r="N127" s="116">
        <v>3.6</v>
      </c>
      <c r="O127" s="116">
        <v>0</v>
      </c>
      <c r="P127" s="141"/>
      <c r="Q127" s="141"/>
    </row>
    <row r="128" spans="1:17" ht="30" x14ac:dyDescent="0.25">
      <c r="A128" s="139" t="s">
        <v>24</v>
      </c>
      <c r="B128" s="139"/>
      <c r="C128" s="140"/>
      <c r="D128" s="141">
        <v>3432.2</v>
      </c>
      <c r="E128" s="141">
        <v>3416.3999999999996</v>
      </c>
      <c r="F128" s="141">
        <v>2953.4</v>
      </c>
      <c r="G128" s="141">
        <v>15.8</v>
      </c>
      <c r="H128" s="141">
        <f t="shared" ref="H128:K128" si="10">SUBTOTAL(9,H129:H132)</f>
        <v>2281.1</v>
      </c>
      <c r="I128" s="141">
        <f t="shared" si="10"/>
        <v>2265.3000000000002</v>
      </c>
      <c r="J128" s="141">
        <f t="shared" si="10"/>
        <v>1935</v>
      </c>
      <c r="K128" s="141">
        <f t="shared" si="10"/>
        <v>15.8</v>
      </c>
      <c r="L128" s="141">
        <v>1576.4</v>
      </c>
      <c r="M128" s="141">
        <v>1560.6999999999998</v>
      </c>
      <c r="N128" s="141">
        <v>1383.7</v>
      </c>
      <c r="O128" s="141">
        <v>15.7</v>
      </c>
      <c r="P128" s="141">
        <f>SUM(L128/D128*100)</f>
        <v>45.929724375036422</v>
      </c>
      <c r="Q128" s="141">
        <f>SUM(L128/H128*100)</f>
        <v>69.107009775985276</v>
      </c>
    </row>
    <row r="129" spans="1:17" ht="12" customHeight="1" x14ac:dyDescent="0.25">
      <c r="A129" s="183"/>
      <c r="B129" s="212" t="s">
        <v>248</v>
      </c>
      <c r="C129" s="115" t="s">
        <v>250</v>
      </c>
      <c r="D129" s="116">
        <v>1738.1</v>
      </c>
      <c r="E129" s="116">
        <v>1738.1</v>
      </c>
      <c r="F129" s="116">
        <v>1669.5</v>
      </c>
      <c r="G129" s="116">
        <v>0</v>
      </c>
      <c r="H129" s="116">
        <v>1152.9000000000001</v>
      </c>
      <c r="I129" s="116">
        <v>1152.9000000000001</v>
      </c>
      <c r="J129" s="116">
        <v>1110</v>
      </c>
      <c r="K129" s="116">
        <v>0</v>
      </c>
      <c r="L129" s="116">
        <v>851.2</v>
      </c>
      <c r="M129" s="116">
        <v>851.2</v>
      </c>
      <c r="N129" s="116">
        <v>831</v>
      </c>
      <c r="O129" s="116">
        <v>0</v>
      </c>
      <c r="P129" s="116"/>
      <c r="Q129" s="22"/>
    </row>
    <row r="130" spans="1:17" ht="12" customHeight="1" x14ac:dyDescent="0.25">
      <c r="A130" s="183"/>
      <c r="B130" s="212"/>
      <c r="C130" s="115" t="s">
        <v>264</v>
      </c>
      <c r="D130" s="116">
        <v>152.80000000000001</v>
      </c>
      <c r="E130" s="116">
        <v>152.80000000000001</v>
      </c>
      <c r="F130" s="116">
        <v>17.5</v>
      </c>
      <c r="G130" s="116">
        <v>0</v>
      </c>
      <c r="H130" s="116">
        <v>104.9</v>
      </c>
      <c r="I130" s="116">
        <v>104.9</v>
      </c>
      <c r="J130" s="116">
        <v>11.2</v>
      </c>
      <c r="K130" s="116">
        <v>0</v>
      </c>
      <c r="L130" s="116">
        <v>69.400000000000006</v>
      </c>
      <c r="M130" s="116">
        <v>69.400000000000006</v>
      </c>
      <c r="N130" s="116">
        <v>8.1</v>
      </c>
      <c r="O130" s="116">
        <v>0</v>
      </c>
      <c r="P130" s="141"/>
      <c r="Q130" s="141"/>
    </row>
    <row r="131" spans="1:17" ht="12" customHeight="1" x14ac:dyDescent="0.25">
      <c r="A131" s="183"/>
      <c r="B131" s="212"/>
      <c r="C131" s="115" t="s">
        <v>252</v>
      </c>
      <c r="D131" s="116">
        <v>1512.6</v>
      </c>
      <c r="E131" s="116">
        <v>1496.8</v>
      </c>
      <c r="F131" s="116">
        <v>1238.0999999999999</v>
      </c>
      <c r="G131" s="116">
        <v>15.8</v>
      </c>
      <c r="H131" s="116">
        <v>1004.2</v>
      </c>
      <c r="I131" s="116">
        <v>988.4</v>
      </c>
      <c r="J131" s="116">
        <v>795</v>
      </c>
      <c r="K131" s="116">
        <v>15.8</v>
      </c>
      <c r="L131" s="116">
        <v>636.70000000000005</v>
      </c>
      <c r="M131" s="116">
        <v>621</v>
      </c>
      <c r="N131" s="116">
        <v>525.79999999999995</v>
      </c>
      <c r="O131" s="116">
        <v>15.7</v>
      </c>
      <c r="P131" s="141"/>
      <c r="Q131" s="141"/>
    </row>
    <row r="132" spans="1:17" ht="12" customHeight="1" x14ac:dyDescent="0.25">
      <c r="A132" s="183"/>
      <c r="B132" s="212"/>
      <c r="C132" s="115" t="s">
        <v>254</v>
      </c>
      <c r="D132" s="116">
        <v>28.7</v>
      </c>
      <c r="E132" s="116">
        <v>28.7</v>
      </c>
      <c r="F132" s="116">
        <v>28.3</v>
      </c>
      <c r="G132" s="116">
        <v>0</v>
      </c>
      <c r="H132" s="116">
        <v>19.100000000000001</v>
      </c>
      <c r="I132" s="116">
        <v>19.100000000000001</v>
      </c>
      <c r="J132" s="116">
        <v>18.8</v>
      </c>
      <c r="K132" s="116">
        <v>0</v>
      </c>
      <c r="L132" s="116">
        <v>19.100000000000001</v>
      </c>
      <c r="M132" s="116">
        <v>19.100000000000001</v>
      </c>
      <c r="N132" s="116">
        <v>18.8</v>
      </c>
      <c r="O132" s="116">
        <v>0</v>
      </c>
      <c r="P132" s="141"/>
      <c r="Q132" s="141"/>
    </row>
    <row r="133" spans="1:17" ht="45" x14ac:dyDescent="0.25">
      <c r="A133" s="139" t="s">
        <v>312</v>
      </c>
      <c r="B133" s="139"/>
      <c r="C133" s="140"/>
      <c r="D133" s="141">
        <v>2990.7</v>
      </c>
      <c r="E133" s="141">
        <v>2965.1</v>
      </c>
      <c r="F133" s="141">
        <v>2591.0000000000005</v>
      </c>
      <c r="G133" s="141">
        <v>25.6</v>
      </c>
      <c r="H133" s="141">
        <f t="shared" ref="H133:K133" si="11">SUBTOTAL(9,H134:H138)</f>
        <v>1880.8000000000002</v>
      </c>
      <c r="I133" s="141">
        <f t="shared" si="11"/>
        <v>1857.2000000000003</v>
      </c>
      <c r="J133" s="141">
        <f t="shared" si="11"/>
        <v>1665.4</v>
      </c>
      <c r="K133" s="141">
        <f t="shared" si="11"/>
        <v>23.6</v>
      </c>
      <c r="L133" s="141">
        <v>1668</v>
      </c>
      <c r="M133" s="141">
        <v>1648.2</v>
      </c>
      <c r="N133" s="141">
        <v>1475.9</v>
      </c>
      <c r="O133" s="141">
        <v>19.8</v>
      </c>
      <c r="P133" s="141">
        <f>SUM(L133/D133*100)</f>
        <v>55.772895977530347</v>
      </c>
      <c r="Q133" s="141">
        <f>SUM(L133/H133*100)</f>
        <v>88.685665674181195</v>
      </c>
    </row>
    <row r="134" spans="1:17" ht="12" customHeight="1" x14ac:dyDescent="0.25">
      <c r="A134" s="183"/>
      <c r="B134" s="212" t="s">
        <v>248</v>
      </c>
      <c r="C134" s="115" t="s">
        <v>250</v>
      </c>
      <c r="D134" s="116">
        <v>1602.6</v>
      </c>
      <c r="E134" s="116">
        <v>1598.6</v>
      </c>
      <c r="F134" s="116">
        <v>1540.9</v>
      </c>
      <c r="G134" s="116">
        <v>4</v>
      </c>
      <c r="H134" s="116">
        <v>1059.5</v>
      </c>
      <c r="I134" s="116">
        <v>1057.5</v>
      </c>
      <c r="J134" s="116">
        <v>1028</v>
      </c>
      <c r="K134" s="116">
        <v>2</v>
      </c>
      <c r="L134" s="116">
        <v>944.3</v>
      </c>
      <c r="M134" s="116">
        <v>942.3</v>
      </c>
      <c r="N134" s="116">
        <v>917.7</v>
      </c>
      <c r="O134" s="116">
        <v>2</v>
      </c>
      <c r="P134" s="141"/>
      <c r="Q134" s="141"/>
    </row>
    <row r="135" spans="1:17" ht="12" customHeight="1" x14ac:dyDescent="0.25">
      <c r="A135" s="183"/>
      <c r="B135" s="212"/>
      <c r="C135" s="115" t="s">
        <v>251</v>
      </c>
      <c r="D135" s="116">
        <v>1.9</v>
      </c>
      <c r="E135" s="116">
        <v>1.9</v>
      </c>
      <c r="F135" s="116">
        <v>1.9</v>
      </c>
      <c r="G135" s="116">
        <v>0</v>
      </c>
      <c r="H135" s="116">
        <v>1.7</v>
      </c>
      <c r="I135" s="116">
        <v>1.7</v>
      </c>
      <c r="J135" s="116">
        <v>1.7</v>
      </c>
      <c r="K135" s="116">
        <v>0</v>
      </c>
      <c r="L135" s="116">
        <v>1.7</v>
      </c>
      <c r="M135" s="116">
        <v>1.7</v>
      </c>
      <c r="N135" s="116">
        <v>1.7</v>
      </c>
      <c r="O135" s="116">
        <v>0</v>
      </c>
      <c r="P135" s="141"/>
      <c r="Q135" s="141"/>
    </row>
    <row r="136" spans="1:17" ht="12" customHeight="1" x14ac:dyDescent="0.25">
      <c r="A136" s="183"/>
      <c r="B136" s="212"/>
      <c r="C136" s="115" t="s">
        <v>264</v>
      </c>
      <c r="D136" s="116">
        <v>136</v>
      </c>
      <c r="E136" s="116">
        <v>136</v>
      </c>
      <c r="F136" s="116">
        <v>14</v>
      </c>
      <c r="G136" s="116">
        <v>0</v>
      </c>
      <c r="H136" s="116">
        <v>67.7</v>
      </c>
      <c r="I136" s="116">
        <v>67.7</v>
      </c>
      <c r="J136" s="116">
        <v>6.5</v>
      </c>
      <c r="K136" s="116">
        <v>0</v>
      </c>
      <c r="L136" s="116">
        <v>64.5</v>
      </c>
      <c r="M136" s="116">
        <v>64.5</v>
      </c>
      <c r="N136" s="116">
        <v>6.4</v>
      </c>
      <c r="O136" s="116">
        <v>0</v>
      </c>
      <c r="P136" s="141"/>
      <c r="Q136" s="141"/>
    </row>
    <row r="137" spans="1:17" ht="12" customHeight="1" x14ac:dyDescent="0.25">
      <c r="A137" s="183"/>
      <c r="B137" s="212"/>
      <c r="C137" s="115" t="s">
        <v>252</v>
      </c>
      <c r="D137" s="116">
        <v>1234.5999999999999</v>
      </c>
      <c r="E137" s="116">
        <v>1213</v>
      </c>
      <c r="F137" s="116">
        <v>1018.8</v>
      </c>
      <c r="G137" s="116">
        <v>21.6</v>
      </c>
      <c r="H137" s="116">
        <v>741.5</v>
      </c>
      <c r="I137" s="116">
        <v>719.9</v>
      </c>
      <c r="J137" s="116">
        <v>619</v>
      </c>
      <c r="K137" s="116">
        <v>21.6</v>
      </c>
      <c r="L137" s="116">
        <v>647.1</v>
      </c>
      <c r="M137" s="116">
        <v>629.29999999999995</v>
      </c>
      <c r="N137" s="116">
        <v>539.9</v>
      </c>
      <c r="O137" s="116">
        <v>17.8</v>
      </c>
      <c r="P137" s="116"/>
      <c r="Q137" s="22"/>
    </row>
    <row r="138" spans="1:17" ht="12" customHeight="1" x14ac:dyDescent="0.25">
      <c r="A138" s="183"/>
      <c r="B138" s="212"/>
      <c r="C138" s="115" t="s">
        <v>254</v>
      </c>
      <c r="D138" s="116">
        <v>15.6</v>
      </c>
      <c r="E138" s="116">
        <v>15.6</v>
      </c>
      <c r="F138" s="116">
        <v>15.4</v>
      </c>
      <c r="G138" s="116">
        <v>0</v>
      </c>
      <c r="H138" s="116">
        <v>10.4</v>
      </c>
      <c r="I138" s="116">
        <v>10.4</v>
      </c>
      <c r="J138" s="116">
        <v>10.199999999999999</v>
      </c>
      <c r="K138" s="116">
        <v>0</v>
      </c>
      <c r="L138" s="116">
        <v>10.4</v>
      </c>
      <c r="M138" s="116">
        <v>10.4</v>
      </c>
      <c r="N138" s="116">
        <v>10.199999999999999</v>
      </c>
      <c r="O138" s="116">
        <v>0</v>
      </c>
      <c r="P138" s="141"/>
      <c r="Q138" s="141"/>
    </row>
    <row r="139" spans="1:17" x14ac:dyDescent="0.25">
      <c r="A139" s="139" t="s">
        <v>51</v>
      </c>
      <c r="B139" s="139"/>
      <c r="C139" s="140"/>
      <c r="D139" s="141">
        <v>2475.6999999999998</v>
      </c>
      <c r="E139" s="141">
        <v>2469.4</v>
      </c>
      <c r="F139" s="141">
        <v>2264.5</v>
      </c>
      <c r="G139" s="141">
        <v>6.3</v>
      </c>
      <c r="H139" s="141">
        <f t="shared" ref="H139:K139" si="12">SUBTOTAL(9,H140:H143)</f>
        <v>1461.9999999999998</v>
      </c>
      <c r="I139" s="141">
        <f t="shared" si="12"/>
        <v>1455.6999999999998</v>
      </c>
      <c r="J139" s="141">
        <f t="shared" si="12"/>
        <v>1335.4</v>
      </c>
      <c r="K139" s="141">
        <f t="shared" si="12"/>
        <v>6.3</v>
      </c>
      <c r="L139" s="141">
        <v>1432.9</v>
      </c>
      <c r="M139" s="141">
        <v>1426.6</v>
      </c>
      <c r="N139" s="141">
        <v>1335.4</v>
      </c>
      <c r="O139" s="141">
        <v>6.3</v>
      </c>
      <c r="P139" s="141">
        <f>SUM(L139/D139*100)</f>
        <v>57.878579795613369</v>
      </c>
      <c r="Q139" s="141">
        <f>SUM(L139/H139*100)</f>
        <v>98.009575923392632</v>
      </c>
    </row>
    <row r="140" spans="1:17" ht="12" customHeight="1" x14ac:dyDescent="0.25">
      <c r="A140" s="183"/>
      <c r="B140" s="212" t="s">
        <v>248</v>
      </c>
      <c r="C140" s="115" t="s">
        <v>250</v>
      </c>
      <c r="D140" s="116">
        <v>145.80000000000001</v>
      </c>
      <c r="E140" s="116">
        <v>145.80000000000001</v>
      </c>
      <c r="F140" s="116">
        <v>143.69999999999999</v>
      </c>
      <c r="G140" s="116">
        <v>0</v>
      </c>
      <c r="H140" s="116">
        <v>97.3</v>
      </c>
      <c r="I140" s="116">
        <v>97.3</v>
      </c>
      <c r="J140" s="116">
        <v>96.1</v>
      </c>
      <c r="K140" s="116">
        <v>0</v>
      </c>
      <c r="L140" s="116">
        <v>97.3</v>
      </c>
      <c r="M140" s="116">
        <v>97.3</v>
      </c>
      <c r="N140" s="116">
        <v>96.1</v>
      </c>
      <c r="O140" s="116">
        <v>0</v>
      </c>
      <c r="P140" s="141"/>
      <c r="Q140" s="141"/>
    </row>
    <row r="141" spans="1:17" ht="12" customHeight="1" x14ac:dyDescent="0.25">
      <c r="A141" s="183"/>
      <c r="B141" s="212"/>
      <c r="C141" s="115" t="s">
        <v>264</v>
      </c>
      <c r="D141" s="116">
        <v>117.6</v>
      </c>
      <c r="E141" s="116">
        <v>117.6</v>
      </c>
      <c r="F141" s="116">
        <v>59.1</v>
      </c>
      <c r="G141" s="116">
        <v>0</v>
      </c>
      <c r="H141" s="116">
        <v>61.3</v>
      </c>
      <c r="I141" s="116">
        <v>61.3</v>
      </c>
      <c r="J141" s="116">
        <v>30.1</v>
      </c>
      <c r="K141" s="116">
        <v>0</v>
      </c>
      <c r="L141" s="116">
        <v>48.4</v>
      </c>
      <c r="M141" s="116">
        <v>48.4</v>
      </c>
      <c r="N141" s="116">
        <v>30.1</v>
      </c>
      <c r="O141" s="116">
        <v>0</v>
      </c>
      <c r="P141" s="141"/>
      <c r="Q141" s="141"/>
    </row>
    <row r="142" spans="1:17" ht="12" customHeight="1" x14ac:dyDescent="0.25">
      <c r="A142" s="183"/>
      <c r="B142" s="212"/>
      <c r="C142" s="115" t="s">
        <v>252</v>
      </c>
      <c r="D142" s="116">
        <v>2040.2</v>
      </c>
      <c r="E142" s="116">
        <v>2033.9</v>
      </c>
      <c r="F142" s="116">
        <v>1898.1</v>
      </c>
      <c r="G142" s="116">
        <v>6.3</v>
      </c>
      <c r="H142" s="116">
        <v>1192.5999999999999</v>
      </c>
      <c r="I142" s="116">
        <v>1186.3</v>
      </c>
      <c r="J142" s="116">
        <v>1100</v>
      </c>
      <c r="K142" s="116">
        <v>6.3</v>
      </c>
      <c r="L142" s="116">
        <v>1176.4000000000001</v>
      </c>
      <c r="M142" s="116">
        <v>1170.0999999999999</v>
      </c>
      <c r="N142" s="116">
        <v>1100</v>
      </c>
      <c r="O142" s="116">
        <v>6.3</v>
      </c>
      <c r="P142" s="116"/>
      <c r="Q142" s="22"/>
    </row>
    <row r="143" spans="1:17" ht="12" customHeight="1" x14ac:dyDescent="0.25">
      <c r="A143" s="183"/>
      <c r="B143" s="212"/>
      <c r="C143" s="115" t="s">
        <v>254</v>
      </c>
      <c r="D143" s="116">
        <v>172.1</v>
      </c>
      <c r="E143" s="116">
        <v>172.1</v>
      </c>
      <c r="F143" s="116">
        <v>163.6</v>
      </c>
      <c r="G143" s="116">
        <v>0</v>
      </c>
      <c r="H143" s="116">
        <v>110.8</v>
      </c>
      <c r="I143" s="116">
        <v>110.8</v>
      </c>
      <c r="J143" s="116">
        <v>109.2</v>
      </c>
      <c r="K143" s="116">
        <v>0</v>
      </c>
      <c r="L143" s="116">
        <v>110.8</v>
      </c>
      <c r="M143" s="116">
        <v>110.8</v>
      </c>
      <c r="N143" s="116">
        <v>109.2</v>
      </c>
      <c r="O143" s="116">
        <v>0</v>
      </c>
      <c r="P143" s="116"/>
      <c r="Q143" s="22"/>
    </row>
    <row r="144" spans="1:17" ht="30" x14ac:dyDescent="0.25">
      <c r="A144" s="139" t="s">
        <v>35</v>
      </c>
      <c r="B144" s="139"/>
      <c r="C144" s="140"/>
      <c r="D144" s="141">
        <v>2341</v>
      </c>
      <c r="E144" s="141">
        <v>2333.1</v>
      </c>
      <c r="F144" s="141">
        <v>2027.8000000000002</v>
      </c>
      <c r="G144" s="141">
        <v>7.9</v>
      </c>
      <c r="H144" s="141">
        <f t="shared" ref="H144:K144" si="13">SUBTOTAL(9,H145:H149)</f>
        <v>1453.4</v>
      </c>
      <c r="I144" s="141">
        <f t="shared" si="13"/>
        <v>1445.5</v>
      </c>
      <c r="J144" s="141">
        <f t="shared" si="13"/>
        <v>1254.6999999999998</v>
      </c>
      <c r="K144" s="141">
        <f t="shared" si="13"/>
        <v>7.9</v>
      </c>
      <c r="L144" s="141">
        <v>1183.5</v>
      </c>
      <c r="M144" s="141">
        <v>1175.6000000000001</v>
      </c>
      <c r="N144" s="141">
        <v>1049.1999999999998</v>
      </c>
      <c r="O144" s="141">
        <v>7.9</v>
      </c>
      <c r="P144" s="141">
        <f>SUM(L144/D144*100)</f>
        <v>50.555318240068345</v>
      </c>
      <c r="Q144" s="141">
        <f>SUM(L144/H144*100)</f>
        <v>81.429750928856464</v>
      </c>
    </row>
    <row r="145" spans="1:17" ht="12" customHeight="1" x14ac:dyDescent="0.25">
      <c r="A145" s="183"/>
      <c r="B145" s="212" t="s">
        <v>248</v>
      </c>
      <c r="C145" s="115" t="s">
        <v>250</v>
      </c>
      <c r="D145" s="116">
        <v>831.4</v>
      </c>
      <c r="E145" s="116">
        <v>831.4</v>
      </c>
      <c r="F145" s="116">
        <v>801.4</v>
      </c>
      <c r="G145" s="116">
        <v>0</v>
      </c>
      <c r="H145" s="116">
        <v>554.1</v>
      </c>
      <c r="I145" s="116">
        <v>554.1</v>
      </c>
      <c r="J145" s="116">
        <v>534.6</v>
      </c>
      <c r="K145" s="116">
        <v>0</v>
      </c>
      <c r="L145" s="116">
        <v>400</v>
      </c>
      <c r="M145" s="116">
        <v>400</v>
      </c>
      <c r="N145" s="116">
        <v>389.8</v>
      </c>
      <c r="O145" s="116">
        <v>0</v>
      </c>
      <c r="P145" s="116"/>
      <c r="Q145" s="22"/>
    </row>
    <row r="146" spans="1:17" ht="12" customHeight="1" x14ac:dyDescent="0.25">
      <c r="A146" s="183"/>
      <c r="B146" s="212"/>
      <c r="C146" s="115" t="s">
        <v>251</v>
      </c>
      <c r="D146" s="116">
        <v>1.7</v>
      </c>
      <c r="E146" s="116">
        <v>1.7</v>
      </c>
      <c r="F146" s="116">
        <v>1.7</v>
      </c>
      <c r="G146" s="116">
        <v>0</v>
      </c>
      <c r="H146" s="116">
        <v>1.5</v>
      </c>
      <c r="I146" s="116">
        <v>1.5</v>
      </c>
      <c r="J146" s="116">
        <v>1.5</v>
      </c>
      <c r="K146" s="116">
        <v>0</v>
      </c>
      <c r="L146" s="116">
        <v>1.5</v>
      </c>
      <c r="M146" s="116">
        <v>1.5</v>
      </c>
      <c r="N146" s="116">
        <v>1.5</v>
      </c>
      <c r="O146" s="116">
        <v>0</v>
      </c>
      <c r="P146" s="141"/>
      <c r="Q146" s="141"/>
    </row>
    <row r="147" spans="1:17" ht="12" customHeight="1" x14ac:dyDescent="0.25">
      <c r="A147" s="183"/>
      <c r="B147" s="212"/>
      <c r="C147" s="115" t="s">
        <v>264</v>
      </c>
      <c r="D147" s="116">
        <v>126.7</v>
      </c>
      <c r="E147" s="116">
        <v>126.7</v>
      </c>
      <c r="F147" s="116">
        <v>16.2</v>
      </c>
      <c r="G147" s="116">
        <v>0</v>
      </c>
      <c r="H147" s="116">
        <v>68.3</v>
      </c>
      <c r="I147" s="116">
        <v>68.3</v>
      </c>
      <c r="J147" s="116">
        <v>7.5</v>
      </c>
      <c r="K147" s="116">
        <v>0</v>
      </c>
      <c r="L147" s="116">
        <v>44.6</v>
      </c>
      <c r="M147" s="116">
        <v>44.6</v>
      </c>
      <c r="N147" s="116">
        <v>7.5</v>
      </c>
      <c r="O147" s="116">
        <v>0</v>
      </c>
      <c r="P147" s="141"/>
      <c r="Q147" s="141"/>
    </row>
    <row r="148" spans="1:17" ht="12" customHeight="1" x14ac:dyDescent="0.25">
      <c r="A148" s="183"/>
      <c r="B148" s="212"/>
      <c r="C148" s="115" t="s">
        <v>252</v>
      </c>
      <c r="D148" s="116">
        <v>1347.6</v>
      </c>
      <c r="E148" s="116">
        <v>1339.7</v>
      </c>
      <c r="F148" s="116">
        <v>1175.4000000000001</v>
      </c>
      <c r="G148" s="116">
        <v>7.9</v>
      </c>
      <c r="H148" s="116">
        <v>807.1</v>
      </c>
      <c r="I148" s="116">
        <v>799.2</v>
      </c>
      <c r="J148" s="116">
        <v>689</v>
      </c>
      <c r="K148" s="116">
        <v>7.9</v>
      </c>
      <c r="L148" s="116">
        <v>715</v>
      </c>
      <c r="M148" s="116">
        <v>707.1</v>
      </c>
      <c r="N148" s="116">
        <v>628.29999999999995</v>
      </c>
      <c r="O148" s="116">
        <v>7.9</v>
      </c>
      <c r="P148" s="141"/>
      <c r="Q148" s="141"/>
    </row>
    <row r="149" spans="1:17" ht="12" customHeight="1" x14ac:dyDescent="0.25">
      <c r="A149" s="183"/>
      <c r="B149" s="212"/>
      <c r="C149" s="115" t="s">
        <v>254</v>
      </c>
      <c r="D149" s="116">
        <v>33.6</v>
      </c>
      <c r="E149" s="116">
        <v>33.6</v>
      </c>
      <c r="F149" s="116">
        <v>33.1</v>
      </c>
      <c r="G149" s="116">
        <v>0</v>
      </c>
      <c r="H149" s="116">
        <v>22.4</v>
      </c>
      <c r="I149" s="116">
        <v>22.4</v>
      </c>
      <c r="J149" s="116">
        <v>22.1</v>
      </c>
      <c r="K149" s="116">
        <v>0</v>
      </c>
      <c r="L149" s="116">
        <v>22.4</v>
      </c>
      <c r="M149" s="116">
        <v>22.4</v>
      </c>
      <c r="N149" s="116">
        <v>22.1</v>
      </c>
      <c r="O149" s="116">
        <v>0</v>
      </c>
      <c r="P149" s="141"/>
      <c r="Q149" s="141"/>
    </row>
    <row r="150" spans="1:17" ht="30" x14ac:dyDescent="0.25">
      <c r="A150" s="139" t="s">
        <v>37</v>
      </c>
      <c r="B150" s="139"/>
      <c r="C150" s="140"/>
      <c r="D150" s="141">
        <v>2248</v>
      </c>
      <c r="E150" s="141">
        <v>2239</v>
      </c>
      <c r="F150" s="141">
        <v>1962.5000000000002</v>
      </c>
      <c r="G150" s="141">
        <v>9</v>
      </c>
      <c r="H150" s="141">
        <f t="shared" ref="H150:K150" si="14">SUBTOTAL(9,H151:H155)</f>
        <v>1426.4</v>
      </c>
      <c r="I150" s="141">
        <f t="shared" si="14"/>
        <v>1417.4</v>
      </c>
      <c r="J150" s="141">
        <f t="shared" si="14"/>
        <v>1258.6000000000001</v>
      </c>
      <c r="K150" s="141">
        <f t="shared" si="14"/>
        <v>9</v>
      </c>
      <c r="L150" s="141">
        <v>1249.5</v>
      </c>
      <c r="M150" s="141">
        <v>1245.5</v>
      </c>
      <c r="N150" s="141">
        <v>1127.8000000000002</v>
      </c>
      <c r="O150" s="141">
        <v>4</v>
      </c>
      <c r="P150" s="141">
        <f>SUM(L150/D150*100)</f>
        <v>55.582740213523131</v>
      </c>
      <c r="Q150" s="141">
        <f>SUM(L150/H150*100)</f>
        <v>87.598149186763877</v>
      </c>
    </row>
    <row r="151" spans="1:17" ht="12" customHeight="1" x14ac:dyDescent="0.25">
      <c r="A151" s="183"/>
      <c r="B151" s="212" t="s">
        <v>248</v>
      </c>
      <c r="C151" s="115" t="s">
        <v>250</v>
      </c>
      <c r="D151" s="116">
        <v>767.9</v>
      </c>
      <c r="E151" s="116">
        <v>767.9</v>
      </c>
      <c r="F151" s="116">
        <v>740.1</v>
      </c>
      <c r="G151" s="116">
        <v>0</v>
      </c>
      <c r="H151" s="116">
        <v>511.5</v>
      </c>
      <c r="I151" s="116">
        <v>511.5</v>
      </c>
      <c r="J151" s="116">
        <v>493.6</v>
      </c>
      <c r="K151" s="116">
        <v>0</v>
      </c>
      <c r="L151" s="116">
        <v>468.3</v>
      </c>
      <c r="M151" s="116">
        <v>468.3</v>
      </c>
      <c r="N151" s="116">
        <v>458</v>
      </c>
      <c r="O151" s="116">
        <v>0</v>
      </c>
      <c r="P151" s="116"/>
      <c r="Q151" s="22"/>
    </row>
    <row r="152" spans="1:17" ht="12" customHeight="1" x14ac:dyDescent="0.25">
      <c r="A152" s="183"/>
      <c r="B152" s="212"/>
      <c r="C152" s="115" t="s">
        <v>251</v>
      </c>
      <c r="D152" s="116">
        <v>3.5</v>
      </c>
      <c r="E152" s="116">
        <v>3.5</v>
      </c>
      <c r="F152" s="116">
        <v>3.4</v>
      </c>
      <c r="G152" s="116">
        <v>0</v>
      </c>
      <c r="H152" s="116">
        <v>3.1</v>
      </c>
      <c r="I152" s="116">
        <v>3.1</v>
      </c>
      <c r="J152" s="116">
        <v>3</v>
      </c>
      <c r="K152" s="116">
        <v>0</v>
      </c>
      <c r="L152" s="116">
        <v>3.1</v>
      </c>
      <c r="M152" s="116">
        <v>3.1</v>
      </c>
      <c r="N152" s="116">
        <v>3</v>
      </c>
      <c r="O152" s="116">
        <v>0</v>
      </c>
      <c r="P152" s="141"/>
      <c r="Q152" s="141"/>
    </row>
    <row r="153" spans="1:17" ht="12" customHeight="1" x14ac:dyDescent="0.25">
      <c r="A153" s="183"/>
      <c r="B153" s="212"/>
      <c r="C153" s="115" t="s">
        <v>264</v>
      </c>
      <c r="D153" s="116">
        <v>117.5</v>
      </c>
      <c r="E153" s="116">
        <v>112.5</v>
      </c>
      <c r="F153" s="116">
        <v>15.2</v>
      </c>
      <c r="G153" s="116">
        <v>5</v>
      </c>
      <c r="H153" s="116">
        <v>60.2</v>
      </c>
      <c r="I153" s="116">
        <v>55.2</v>
      </c>
      <c r="J153" s="116">
        <v>6.3</v>
      </c>
      <c r="K153" s="116">
        <v>5</v>
      </c>
      <c r="L153" s="116">
        <v>39.9</v>
      </c>
      <c r="M153" s="116">
        <v>39.9</v>
      </c>
      <c r="N153" s="116">
        <v>6.3</v>
      </c>
      <c r="O153" s="116">
        <v>0</v>
      </c>
      <c r="P153" s="141"/>
      <c r="Q153" s="141"/>
    </row>
    <row r="154" spans="1:17" ht="12" customHeight="1" x14ac:dyDescent="0.25">
      <c r="A154" s="183"/>
      <c r="B154" s="212"/>
      <c r="C154" s="115" t="s">
        <v>252</v>
      </c>
      <c r="D154" s="116">
        <v>1329.8</v>
      </c>
      <c r="E154" s="116">
        <v>1325.8</v>
      </c>
      <c r="F154" s="116">
        <v>1174.9000000000001</v>
      </c>
      <c r="G154" s="116">
        <v>4</v>
      </c>
      <c r="H154" s="116">
        <v>832</v>
      </c>
      <c r="I154" s="116">
        <v>828</v>
      </c>
      <c r="J154" s="116">
        <v>736.3</v>
      </c>
      <c r="K154" s="116">
        <v>4</v>
      </c>
      <c r="L154" s="116">
        <v>718.6</v>
      </c>
      <c r="M154" s="116">
        <v>714.6</v>
      </c>
      <c r="N154" s="116">
        <v>641.1</v>
      </c>
      <c r="O154" s="116">
        <v>4</v>
      </c>
      <c r="P154" s="116"/>
      <c r="Q154" s="22"/>
    </row>
    <row r="155" spans="1:17" ht="12" customHeight="1" x14ac:dyDescent="0.25">
      <c r="A155" s="183"/>
      <c r="B155" s="212"/>
      <c r="C155" s="115" t="s">
        <v>254</v>
      </c>
      <c r="D155" s="116">
        <v>29.3</v>
      </c>
      <c r="E155" s="116">
        <v>29.3</v>
      </c>
      <c r="F155" s="116">
        <v>28.9</v>
      </c>
      <c r="G155" s="116">
        <v>0</v>
      </c>
      <c r="H155" s="116">
        <v>19.600000000000001</v>
      </c>
      <c r="I155" s="116">
        <v>19.600000000000001</v>
      </c>
      <c r="J155" s="116">
        <v>19.399999999999999</v>
      </c>
      <c r="K155" s="116">
        <v>0</v>
      </c>
      <c r="L155" s="116">
        <v>19.600000000000001</v>
      </c>
      <c r="M155" s="116">
        <v>19.600000000000001</v>
      </c>
      <c r="N155" s="116">
        <v>19.399999999999999</v>
      </c>
      <c r="O155" s="116">
        <v>0</v>
      </c>
      <c r="P155" s="141"/>
      <c r="Q155" s="141"/>
    </row>
    <row r="156" spans="1:17" ht="30" x14ac:dyDescent="0.25">
      <c r="A156" s="139" t="s">
        <v>313</v>
      </c>
      <c r="B156" s="139"/>
      <c r="C156" s="140"/>
      <c r="D156" s="141">
        <v>2011.8999999999996</v>
      </c>
      <c r="E156" s="141">
        <v>1998.6</v>
      </c>
      <c r="F156" s="141">
        <v>1740</v>
      </c>
      <c r="G156" s="141">
        <v>13.3</v>
      </c>
      <c r="H156" s="141">
        <f t="shared" ref="H156:K156" si="15">SUBTOTAL(9,H157:H161)</f>
        <v>1234.0999999999999</v>
      </c>
      <c r="I156" s="141">
        <f t="shared" si="15"/>
        <v>1223.8</v>
      </c>
      <c r="J156" s="141">
        <f t="shared" si="15"/>
        <v>1077.2</v>
      </c>
      <c r="K156" s="141">
        <f t="shared" si="15"/>
        <v>10.3</v>
      </c>
      <c r="L156" s="141">
        <v>1042.8999999999999</v>
      </c>
      <c r="M156" s="141">
        <v>1035.5999999999999</v>
      </c>
      <c r="N156" s="141">
        <v>936.9</v>
      </c>
      <c r="O156" s="141">
        <v>7.3000000000000007</v>
      </c>
      <c r="P156" s="141">
        <f>SUM(L156/D156*100)</f>
        <v>51.83657239425419</v>
      </c>
      <c r="Q156" s="141">
        <f>SUM(L156/H156*100)</f>
        <v>84.506928125759657</v>
      </c>
    </row>
    <row r="157" spans="1:17" ht="12" customHeight="1" x14ac:dyDescent="0.25">
      <c r="A157" s="183"/>
      <c r="B157" s="212" t="s">
        <v>248</v>
      </c>
      <c r="C157" s="115" t="s">
        <v>250</v>
      </c>
      <c r="D157" s="116">
        <v>693.4</v>
      </c>
      <c r="E157" s="116">
        <v>692.5</v>
      </c>
      <c r="F157" s="116">
        <v>669.3</v>
      </c>
      <c r="G157" s="116">
        <v>0.9</v>
      </c>
      <c r="H157" s="116">
        <v>461.5</v>
      </c>
      <c r="I157" s="116">
        <v>460.6</v>
      </c>
      <c r="J157" s="116">
        <v>446.4</v>
      </c>
      <c r="K157" s="116">
        <v>0.9</v>
      </c>
      <c r="L157" s="116">
        <v>395.4</v>
      </c>
      <c r="M157" s="116">
        <v>394.5</v>
      </c>
      <c r="N157" s="116">
        <v>382.7</v>
      </c>
      <c r="O157" s="116">
        <v>0.9</v>
      </c>
      <c r="P157" s="141"/>
      <c r="Q157" s="141"/>
    </row>
    <row r="158" spans="1:17" ht="12" customHeight="1" x14ac:dyDescent="0.25">
      <c r="A158" s="183"/>
      <c r="B158" s="212"/>
      <c r="C158" s="115" t="s">
        <v>251</v>
      </c>
      <c r="D158" s="116">
        <v>3.4</v>
      </c>
      <c r="E158" s="116">
        <v>3.4</v>
      </c>
      <c r="F158" s="116">
        <v>3.4</v>
      </c>
      <c r="G158" s="116">
        <v>0</v>
      </c>
      <c r="H158" s="116">
        <v>3</v>
      </c>
      <c r="I158" s="116">
        <v>3</v>
      </c>
      <c r="J158" s="116">
        <v>3</v>
      </c>
      <c r="K158" s="116">
        <v>0</v>
      </c>
      <c r="L158" s="116">
        <v>3</v>
      </c>
      <c r="M158" s="116">
        <v>3</v>
      </c>
      <c r="N158" s="116">
        <v>3</v>
      </c>
      <c r="O158" s="116">
        <v>0</v>
      </c>
      <c r="P158" s="141"/>
      <c r="Q158" s="141"/>
    </row>
    <row r="159" spans="1:17" ht="12" customHeight="1" x14ac:dyDescent="0.25">
      <c r="A159" s="183"/>
      <c r="B159" s="212"/>
      <c r="C159" s="115" t="s">
        <v>264</v>
      </c>
      <c r="D159" s="116">
        <v>119.9</v>
      </c>
      <c r="E159" s="116">
        <v>113.9</v>
      </c>
      <c r="F159" s="116">
        <v>14.5</v>
      </c>
      <c r="G159" s="116">
        <v>6</v>
      </c>
      <c r="H159" s="116">
        <v>62.9</v>
      </c>
      <c r="I159" s="116">
        <v>59.9</v>
      </c>
      <c r="J159" s="116">
        <v>8</v>
      </c>
      <c r="K159" s="116">
        <v>3</v>
      </c>
      <c r="L159" s="116">
        <v>39.4</v>
      </c>
      <c r="M159" s="116">
        <v>39.4</v>
      </c>
      <c r="N159" s="116">
        <v>7.2</v>
      </c>
      <c r="O159" s="116">
        <v>0</v>
      </c>
      <c r="P159" s="141"/>
      <c r="Q159" s="141"/>
    </row>
    <row r="160" spans="1:17" ht="12" customHeight="1" x14ac:dyDescent="0.25">
      <c r="A160" s="183"/>
      <c r="B160" s="212"/>
      <c r="C160" s="115" t="s">
        <v>252</v>
      </c>
      <c r="D160" s="116">
        <v>1165.0999999999999</v>
      </c>
      <c r="E160" s="116">
        <v>1158.7</v>
      </c>
      <c r="F160" s="116">
        <v>1023.1</v>
      </c>
      <c r="G160" s="116">
        <v>6.4</v>
      </c>
      <c r="H160" s="116">
        <v>686.6</v>
      </c>
      <c r="I160" s="116">
        <v>680.2</v>
      </c>
      <c r="J160" s="116">
        <v>600</v>
      </c>
      <c r="K160" s="116">
        <v>6.4</v>
      </c>
      <c r="L160" s="116">
        <v>585</v>
      </c>
      <c r="M160" s="116">
        <v>578.6</v>
      </c>
      <c r="N160" s="116">
        <v>524.20000000000005</v>
      </c>
      <c r="O160" s="116">
        <v>6.4</v>
      </c>
      <c r="P160" s="141"/>
      <c r="Q160" s="141"/>
    </row>
    <row r="161" spans="1:17" ht="12" customHeight="1" x14ac:dyDescent="0.25">
      <c r="A161" s="183"/>
      <c r="B161" s="212"/>
      <c r="C161" s="115" t="s">
        <v>254</v>
      </c>
      <c r="D161" s="116">
        <v>30.1</v>
      </c>
      <c r="E161" s="116">
        <v>30.1</v>
      </c>
      <c r="F161" s="116">
        <v>29.7</v>
      </c>
      <c r="G161" s="116">
        <v>0</v>
      </c>
      <c r="H161" s="116">
        <v>20.100000000000001</v>
      </c>
      <c r="I161" s="116">
        <v>20.100000000000001</v>
      </c>
      <c r="J161" s="116">
        <v>19.8</v>
      </c>
      <c r="K161" s="116">
        <v>0</v>
      </c>
      <c r="L161" s="116">
        <v>20.100000000000001</v>
      </c>
      <c r="M161" s="116">
        <v>20.100000000000001</v>
      </c>
      <c r="N161" s="116">
        <v>19.8</v>
      </c>
      <c r="O161" s="116">
        <v>0</v>
      </c>
      <c r="P161" s="141"/>
      <c r="Q161" s="141"/>
    </row>
    <row r="162" spans="1:17" ht="30" x14ac:dyDescent="0.25">
      <c r="A162" s="139" t="s">
        <v>45</v>
      </c>
      <c r="B162" s="139"/>
      <c r="C162" s="140"/>
      <c r="D162" s="141">
        <v>2424.9</v>
      </c>
      <c r="E162" s="141">
        <v>2415.8000000000002</v>
      </c>
      <c r="F162" s="141">
        <v>2109.9</v>
      </c>
      <c r="G162" s="141">
        <v>9.1</v>
      </c>
      <c r="H162" s="141">
        <f t="shared" ref="H162:K162" si="16">SUBTOTAL(9,H163:H167)</f>
        <v>1524.8</v>
      </c>
      <c r="I162" s="141">
        <f t="shared" si="16"/>
        <v>1519.8</v>
      </c>
      <c r="J162" s="141">
        <f t="shared" si="16"/>
        <v>1335</v>
      </c>
      <c r="K162" s="141">
        <f t="shared" si="16"/>
        <v>5</v>
      </c>
      <c r="L162" s="141">
        <v>1142.7</v>
      </c>
      <c r="M162" s="141">
        <v>1137.7</v>
      </c>
      <c r="N162" s="141">
        <v>1010</v>
      </c>
      <c r="O162" s="141">
        <v>5</v>
      </c>
      <c r="P162" s="141">
        <f>SUM(L162/D162*100)</f>
        <v>47.123592725473216</v>
      </c>
      <c r="Q162" s="141">
        <f>SUM(L162/H162*100)</f>
        <v>74.940975865687307</v>
      </c>
    </row>
    <row r="163" spans="1:17" ht="12" customHeight="1" x14ac:dyDescent="0.25">
      <c r="A163" s="183"/>
      <c r="B163" s="212" t="s">
        <v>248</v>
      </c>
      <c r="C163" s="115" t="s">
        <v>250</v>
      </c>
      <c r="D163" s="116">
        <v>833.1</v>
      </c>
      <c r="E163" s="116">
        <v>832</v>
      </c>
      <c r="F163" s="116">
        <v>803.7</v>
      </c>
      <c r="G163" s="116">
        <v>1.1000000000000001</v>
      </c>
      <c r="H163" s="116">
        <v>554.70000000000005</v>
      </c>
      <c r="I163" s="116">
        <v>554.70000000000005</v>
      </c>
      <c r="J163" s="116">
        <v>536.1</v>
      </c>
      <c r="K163" s="116">
        <v>0</v>
      </c>
      <c r="L163" s="116">
        <v>376.8</v>
      </c>
      <c r="M163" s="116">
        <v>376.8</v>
      </c>
      <c r="N163" s="116">
        <v>367.5</v>
      </c>
      <c r="O163" s="116">
        <v>0</v>
      </c>
      <c r="P163" s="141"/>
      <c r="Q163" s="141"/>
    </row>
    <row r="164" spans="1:17" ht="12" customHeight="1" x14ac:dyDescent="0.25">
      <c r="A164" s="183"/>
      <c r="B164" s="212"/>
      <c r="C164" s="115" t="s">
        <v>251</v>
      </c>
      <c r="D164" s="116">
        <v>5</v>
      </c>
      <c r="E164" s="116">
        <v>5</v>
      </c>
      <c r="F164" s="116">
        <v>4.9000000000000004</v>
      </c>
      <c r="G164" s="116">
        <v>0</v>
      </c>
      <c r="H164" s="116">
        <v>4.4000000000000004</v>
      </c>
      <c r="I164" s="116">
        <v>4.4000000000000004</v>
      </c>
      <c r="J164" s="116">
        <v>4.3</v>
      </c>
      <c r="K164" s="116">
        <v>0</v>
      </c>
      <c r="L164" s="116">
        <v>4.4000000000000004</v>
      </c>
      <c r="M164" s="116">
        <v>4.4000000000000004</v>
      </c>
      <c r="N164" s="116">
        <v>4.3</v>
      </c>
      <c r="O164" s="116">
        <v>0</v>
      </c>
      <c r="P164" s="141"/>
      <c r="Q164" s="141"/>
    </row>
    <row r="165" spans="1:17" ht="12" customHeight="1" x14ac:dyDescent="0.25">
      <c r="A165" s="183"/>
      <c r="B165" s="212"/>
      <c r="C165" s="115" t="s">
        <v>264</v>
      </c>
      <c r="D165" s="116">
        <v>119.8</v>
      </c>
      <c r="E165" s="116">
        <v>116.8</v>
      </c>
      <c r="F165" s="116">
        <v>14.8</v>
      </c>
      <c r="G165" s="116">
        <v>3</v>
      </c>
      <c r="H165" s="116">
        <v>59.7</v>
      </c>
      <c r="I165" s="116">
        <v>59.7</v>
      </c>
      <c r="J165" s="116">
        <v>8</v>
      </c>
      <c r="K165" s="116">
        <v>0</v>
      </c>
      <c r="L165" s="116">
        <v>47.6</v>
      </c>
      <c r="M165" s="116">
        <v>47.6</v>
      </c>
      <c r="N165" s="116">
        <v>6.8</v>
      </c>
      <c r="O165" s="116">
        <v>0</v>
      </c>
      <c r="P165" s="141"/>
      <c r="Q165" s="141"/>
    </row>
    <row r="166" spans="1:17" ht="12" customHeight="1" x14ac:dyDescent="0.25">
      <c r="A166" s="183"/>
      <c r="B166" s="212"/>
      <c r="C166" s="115" t="s">
        <v>252</v>
      </c>
      <c r="D166" s="116">
        <v>1435</v>
      </c>
      <c r="E166" s="116">
        <v>1430</v>
      </c>
      <c r="F166" s="116">
        <v>1255</v>
      </c>
      <c r="G166" s="116">
        <v>5</v>
      </c>
      <c r="H166" s="116">
        <v>884.7</v>
      </c>
      <c r="I166" s="116">
        <v>879.7</v>
      </c>
      <c r="J166" s="116">
        <v>765.7</v>
      </c>
      <c r="K166" s="116">
        <v>5</v>
      </c>
      <c r="L166" s="116">
        <v>692.6</v>
      </c>
      <c r="M166" s="116">
        <v>687.6</v>
      </c>
      <c r="N166" s="116">
        <v>610.5</v>
      </c>
      <c r="O166" s="116">
        <v>5</v>
      </c>
      <c r="P166" s="141"/>
      <c r="Q166" s="141"/>
    </row>
    <row r="167" spans="1:17" ht="12" customHeight="1" x14ac:dyDescent="0.25">
      <c r="A167" s="183"/>
      <c r="B167" s="212"/>
      <c r="C167" s="115" t="s">
        <v>254</v>
      </c>
      <c r="D167" s="116">
        <v>32</v>
      </c>
      <c r="E167" s="116">
        <v>32</v>
      </c>
      <c r="F167" s="116">
        <v>31.5</v>
      </c>
      <c r="G167" s="116">
        <v>0</v>
      </c>
      <c r="H167" s="116">
        <v>21.3</v>
      </c>
      <c r="I167" s="116">
        <v>21.3</v>
      </c>
      <c r="J167" s="116">
        <v>20.9</v>
      </c>
      <c r="K167" s="116">
        <v>0</v>
      </c>
      <c r="L167" s="116">
        <v>21.3</v>
      </c>
      <c r="M167" s="116">
        <v>21.3</v>
      </c>
      <c r="N167" s="116">
        <v>20.9</v>
      </c>
      <c r="O167" s="116">
        <v>0</v>
      </c>
      <c r="P167" s="141"/>
      <c r="Q167" s="141"/>
    </row>
    <row r="168" spans="1:17" x14ac:dyDescent="0.25">
      <c r="A168" s="139" t="s">
        <v>72</v>
      </c>
      <c r="B168" s="139"/>
      <c r="C168" s="140"/>
      <c r="D168" s="141">
        <v>1684.8</v>
      </c>
      <c r="E168" s="141">
        <v>1648.8</v>
      </c>
      <c r="F168" s="141">
        <v>1085.8999999999999</v>
      </c>
      <c r="G168" s="141">
        <v>36</v>
      </c>
      <c r="H168" s="141">
        <f t="shared" ref="H168:K168" si="17">SUBTOTAL(9,H169:H171)</f>
        <v>900.3</v>
      </c>
      <c r="I168" s="141">
        <f t="shared" si="17"/>
        <v>864.3</v>
      </c>
      <c r="J168" s="141">
        <f t="shared" si="17"/>
        <v>547.79999999999995</v>
      </c>
      <c r="K168" s="141">
        <f t="shared" si="17"/>
        <v>36</v>
      </c>
      <c r="L168" s="141">
        <v>739</v>
      </c>
      <c r="M168" s="141">
        <v>739</v>
      </c>
      <c r="N168" s="141">
        <v>503.7</v>
      </c>
      <c r="O168" s="141">
        <v>0</v>
      </c>
      <c r="P168" s="141">
        <f>SUM(L168/D168*100)</f>
        <v>43.862773029439701</v>
      </c>
      <c r="Q168" s="141">
        <f>SUM(L168/H168*100)</f>
        <v>82.083749861157401</v>
      </c>
    </row>
    <row r="169" spans="1:17" ht="15.6" customHeight="1" x14ac:dyDescent="0.25">
      <c r="A169" s="183"/>
      <c r="B169" s="212" t="s">
        <v>300</v>
      </c>
      <c r="C169" s="115" t="s">
        <v>264</v>
      </c>
      <c r="D169" s="116">
        <v>431</v>
      </c>
      <c r="E169" s="116">
        <v>431</v>
      </c>
      <c r="F169" s="116">
        <v>185.1</v>
      </c>
      <c r="G169" s="116">
        <v>0</v>
      </c>
      <c r="H169" s="116">
        <v>218.4</v>
      </c>
      <c r="I169" s="116">
        <v>218.4</v>
      </c>
      <c r="J169" s="116">
        <v>93.3</v>
      </c>
      <c r="K169" s="116">
        <v>0</v>
      </c>
      <c r="L169" s="116">
        <v>154.69999999999999</v>
      </c>
      <c r="M169" s="116">
        <v>154.69999999999999</v>
      </c>
      <c r="N169" s="116">
        <v>51.5</v>
      </c>
      <c r="O169" s="116">
        <v>0</v>
      </c>
      <c r="P169" s="141"/>
      <c r="Q169" s="141"/>
    </row>
    <row r="170" spans="1:17" ht="17.399999999999999" customHeight="1" x14ac:dyDescent="0.25">
      <c r="A170" s="183"/>
      <c r="B170" s="212"/>
      <c r="C170" s="115" t="s">
        <v>252</v>
      </c>
      <c r="D170" s="116">
        <v>1245.2</v>
      </c>
      <c r="E170" s="116">
        <v>1209.2</v>
      </c>
      <c r="F170" s="116">
        <v>900.8</v>
      </c>
      <c r="G170" s="116">
        <v>36</v>
      </c>
      <c r="H170" s="116">
        <v>681.9</v>
      </c>
      <c r="I170" s="116">
        <v>645.9</v>
      </c>
      <c r="J170" s="116">
        <v>454.5</v>
      </c>
      <c r="K170" s="116">
        <v>36</v>
      </c>
      <c r="L170" s="116">
        <v>584.29999999999995</v>
      </c>
      <c r="M170" s="116">
        <v>584.29999999999995</v>
      </c>
      <c r="N170" s="116">
        <v>452.2</v>
      </c>
      <c r="O170" s="116">
        <v>0</v>
      </c>
      <c r="P170" s="141"/>
      <c r="Q170" s="141"/>
    </row>
    <row r="171" spans="1:17" ht="21.6" customHeight="1" x14ac:dyDescent="0.25">
      <c r="A171" s="183"/>
      <c r="B171" s="212"/>
      <c r="C171" s="115" t="s">
        <v>254</v>
      </c>
      <c r="D171" s="116">
        <v>8.6</v>
      </c>
      <c r="E171" s="116">
        <v>8.6</v>
      </c>
      <c r="F171" s="116">
        <v>0</v>
      </c>
      <c r="G171" s="116">
        <v>0</v>
      </c>
      <c r="H171" s="116">
        <v>0</v>
      </c>
      <c r="I171" s="116">
        <v>0</v>
      </c>
      <c r="J171" s="116">
        <v>0</v>
      </c>
      <c r="K171" s="116">
        <v>0</v>
      </c>
      <c r="L171" s="116">
        <v>0</v>
      </c>
      <c r="M171" s="116">
        <v>0</v>
      </c>
      <c r="N171" s="116">
        <v>0</v>
      </c>
      <c r="O171" s="116">
        <v>0</v>
      </c>
      <c r="P171" s="141"/>
      <c r="Q171" s="141"/>
    </row>
    <row r="172" spans="1:17" ht="30" x14ac:dyDescent="0.25">
      <c r="A172" s="139" t="s">
        <v>61</v>
      </c>
      <c r="B172" s="139"/>
      <c r="C172" s="140"/>
      <c r="D172" s="141">
        <v>775.7</v>
      </c>
      <c r="E172" s="141">
        <v>638.79999999999995</v>
      </c>
      <c r="F172" s="141">
        <v>263.5</v>
      </c>
      <c r="G172" s="141">
        <v>136.9</v>
      </c>
      <c r="H172" s="141">
        <f t="shared" ref="H172:K172" si="18">SUBTOTAL(9,H173:H175)</f>
        <v>480.1</v>
      </c>
      <c r="I172" s="141">
        <f t="shared" si="18"/>
        <v>365.8</v>
      </c>
      <c r="J172" s="141">
        <f t="shared" si="18"/>
        <v>154.1</v>
      </c>
      <c r="K172" s="141">
        <f t="shared" si="18"/>
        <v>114.3</v>
      </c>
      <c r="L172" s="141">
        <v>265.20000000000005</v>
      </c>
      <c r="M172" s="141">
        <v>219.5</v>
      </c>
      <c r="N172" s="141">
        <v>127</v>
      </c>
      <c r="O172" s="141">
        <v>45.699999999999996</v>
      </c>
      <c r="P172" s="141">
        <f>SUM(L172/D172*100)</f>
        <v>34.188474925873408</v>
      </c>
      <c r="Q172" s="141">
        <f>SUM(L172/H172*100)</f>
        <v>55.238491980837331</v>
      </c>
    </row>
    <row r="173" spans="1:17" ht="12" customHeight="1" x14ac:dyDescent="0.25">
      <c r="A173" s="183"/>
      <c r="B173" s="212" t="s">
        <v>256</v>
      </c>
      <c r="C173" s="115" t="s">
        <v>249</v>
      </c>
      <c r="D173" s="116">
        <v>121.1</v>
      </c>
      <c r="E173" s="116">
        <v>52.2</v>
      </c>
      <c r="F173" s="116">
        <v>15.8</v>
      </c>
      <c r="G173" s="116">
        <v>68.900000000000006</v>
      </c>
      <c r="H173" s="116">
        <v>106.5</v>
      </c>
      <c r="I173" s="116">
        <v>46.2</v>
      </c>
      <c r="J173" s="116">
        <v>15.8</v>
      </c>
      <c r="K173" s="116">
        <v>60.3</v>
      </c>
      <c r="L173" s="116">
        <v>57.3</v>
      </c>
      <c r="M173" s="116">
        <v>14.5</v>
      </c>
      <c r="N173" s="116">
        <v>7.8</v>
      </c>
      <c r="O173" s="116">
        <v>42.8</v>
      </c>
      <c r="P173" s="141"/>
      <c r="Q173" s="141"/>
    </row>
    <row r="174" spans="1:17" ht="12" customHeight="1" x14ac:dyDescent="0.25">
      <c r="A174" s="183"/>
      <c r="B174" s="212"/>
      <c r="C174" s="115" t="s">
        <v>264</v>
      </c>
      <c r="D174" s="116">
        <v>287.10000000000002</v>
      </c>
      <c r="E174" s="116">
        <v>287.10000000000002</v>
      </c>
      <c r="F174" s="116">
        <v>80.900000000000006</v>
      </c>
      <c r="G174" s="116">
        <v>0</v>
      </c>
      <c r="H174" s="116">
        <v>160.1</v>
      </c>
      <c r="I174" s="116">
        <v>160.1</v>
      </c>
      <c r="J174" s="116">
        <v>54.8</v>
      </c>
      <c r="K174" s="116">
        <v>0</v>
      </c>
      <c r="L174" s="116">
        <v>87.5</v>
      </c>
      <c r="M174" s="116">
        <v>87.5</v>
      </c>
      <c r="N174" s="116">
        <v>36.5</v>
      </c>
      <c r="O174" s="116">
        <v>0</v>
      </c>
      <c r="P174" s="141"/>
      <c r="Q174" s="141"/>
    </row>
    <row r="175" spans="1:17" ht="20.399999999999999" customHeight="1" x14ac:dyDescent="0.25">
      <c r="A175" s="183"/>
      <c r="B175" s="212"/>
      <c r="C175" s="115" t="s">
        <v>252</v>
      </c>
      <c r="D175" s="116">
        <v>367.5</v>
      </c>
      <c r="E175" s="116">
        <v>299.5</v>
      </c>
      <c r="F175" s="116">
        <v>166.8</v>
      </c>
      <c r="G175" s="116">
        <v>68</v>
      </c>
      <c r="H175" s="116">
        <v>213.5</v>
      </c>
      <c r="I175" s="116">
        <v>159.5</v>
      </c>
      <c r="J175" s="116">
        <v>83.5</v>
      </c>
      <c r="K175" s="116">
        <v>54</v>
      </c>
      <c r="L175" s="116">
        <v>120.4</v>
      </c>
      <c r="M175" s="116">
        <v>117.5</v>
      </c>
      <c r="N175" s="116">
        <v>82.7</v>
      </c>
      <c r="O175" s="116">
        <v>2.9</v>
      </c>
      <c r="P175" s="141"/>
      <c r="Q175" s="141"/>
    </row>
    <row r="176" spans="1:17" ht="30" x14ac:dyDescent="0.25">
      <c r="A176" s="139" t="s">
        <v>65</v>
      </c>
      <c r="B176" s="139"/>
      <c r="C176" s="140"/>
      <c r="D176" s="141">
        <v>3015</v>
      </c>
      <c r="E176" s="141">
        <v>3008.6</v>
      </c>
      <c r="F176" s="141">
        <v>2262.6</v>
      </c>
      <c r="G176" s="141">
        <v>6.4</v>
      </c>
      <c r="H176" s="141">
        <f t="shared" ref="H176:K176" si="19">SUBTOTAL(9,H177:H179)</f>
        <v>1495.8</v>
      </c>
      <c r="I176" s="141">
        <f t="shared" si="19"/>
        <v>1490.6</v>
      </c>
      <c r="J176" s="141">
        <f t="shared" si="19"/>
        <v>1131.3999999999999</v>
      </c>
      <c r="K176" s="141">
        <f t="shared" si="19"/>
        <v>5.2</v>
      </c>
      <c r="L176" s="141">
        <v>1215.0999999999999</v>
      </c>
      <c r="M176" s="141">
        <v>1212.0999999999999</v>
      </c>
      <c r="N176" s="141">
        <v>940.1</v>
      </c>
      <c r="O176" s="141">
        <v>3</v>
      </c>
      <c r="P176" s="141">
        <f>SUM(L176/D176*100)</f>
        <v>40.301824212271967</v>
      </c>
      <c r="Q176" s="141">
        <f>SUM(L176/H176*100)</f>
        <v>81.234122208851446</v>
      </c>
    </row>
    <row r="177" spans="1:17" ht="15" customHeight="1" x14ac:dyDescent="0.25">
      <c r="A177" s="183"/>
      <c r="B177" s="212" t="s">
        <v>266</v>
      </c>
      <c r="C177" s="115" t="s">
        <v>264</v>
      </c>
      <c r="D177" s="116">
        <v>66.099999999999994</v>
      </c>
      <c r="E177" s="116">
        <v>63.7</v>
      </c>
      <c r="F177" s="116">
        <v>16.2</v>
      </c>
      <c r="G177" s="116">
        <v>2.4</v>
      </c>
      <c r="H177" s="116">
        <v>33.799999999999997</v>
      </c>
      <c r="I177" s="116">
        <v>32.6</v>
      </c>
      <c r="J177" s="116">
        <v>8.1</v>
      </c>
      <c r="K177" s="116">
        <v>1.2</v>
      </c>
      <c r="L177" s="116">
        <v>27</v>
      </c>
      <c r="M177" s="116">
        <v>26.1</v>
      </c>
      <c r="N177" s="116">
        <v>6.7</v>
      </c>
      <c r="O177" s="116">
        <v>0.9</v>
      </c>
      <c r="P177" s="116"/>
      <c r="Q177" s="22"/>
    </row>
    <row r="178" spans="1:17" ht="15" customHeight="1" x14ac:dyDescent="0.25">
      <c r="A178" s="183"/>
      <c r="B178" s="212"/>
      <c r="C178" s="115" t="s">
        <v>252</v>
      </c>
      <c r="D178" s="116">
        <v>2823.4</v>
      </c>
      <c r="E178" s="116">
        <v>2819.4</v>
      </c>
      <c r="F178" s="116">
        <v>2122.8000000000002</v>
      </c>
      <c r="G178" s="116">
        <v>4</v>
      </c>
      <c r="H178" s="116">
        <v>1399.2</v>
      </c>
      <c r="I178" s="116">
        <v>1395.2</v>
      </c>
      <c r="J178" s="116">
        <v>1061.5</v>
      </c>
      <c r="K178" s="116">
        <v>4</v>
      </c>
      <c r="L178" s="116">
        <v>1125.3</v>
      </c>
      <c r="M178" s="116">
        <v>1123.2</v>
      </c>
      <c r="N178" s="116">
        <v>871.6</v>
      </c>
      <c r="O178" s="116">
        <v>2.1</v>
      </c>
      <c r="P178" s="141"/>
      <c r="Q178" s="141"/>
    </row>
    <row r="179" spans="1:17" ht="21" customHeight="1" x14ac:dyDescent="0.25">
      <c r="A179" s="183"/>
      <c r="B179" s="212"/>
      <c r="C179" s="115" t="s">
        <v>254</v>
      </c>
      <c r="D179" s="116">
        <v>125.5</v>
      </c>
      <c r="E179" s="116">
        <v>125.5</v>
      </c>
      <c r="F179" s="116">
        <v>123.6</v>
      </c>
      <c r="G179" s="116">
        <v>0</v>
      </c>
      <c r="H179" s="116">
        <v>62.8</v>
      </c>
      <c r="I179" s="116">
        <v>62.8</v>
      </c>
      <c r="J179" s="116">
        <v>61.8</v>
      </c>
      <c r="K179" s="116">
        <v>0</v>
      </c>
      <c r="L179" s="116">
        <v>62.8</v>
      </c>
      <c r="M179" s="116">
        <v>62.8</v>
      </c>
      <c r="N179" s="116">
        <v>61.8</v>
      </c>
      <c r="O179" s="116">
        <v>0</v>
      </c>
      <c r="P179" s="141"/>
      <c r="Q179" s="141"/>
    </row>
    <row r="180" spans="1:17" x14ac:dyDescent="0.25">
      <c r="A180" s="139" t="s">
        <v>275</v>
      </c>
      <c r="B180" s="139"/>
      <c r="C180" s="140"/>
      <c r="D180" s="141">
        <v>668.7</v>
      </c>
      <c r="E180" s="141">
        <v>186.6</v>
      </c>
      <c r="F180" s="141">
        <v>0</v>
      </c>
      <c r="G180" s="141">
        <v>482.1</v>
      </c>
      <c r="H180" s="141">
        <f t="shared" ref="H180:K180" si="20">SUBTOTAL(9,H181:H181)</f>
        <v>282.7</v>
      </c>
      <c r="I180" s="141">
        <f t="shared" si="20"/>
        <v>84.8</v>
      </c>
      <c r="J180" s="141">
        <f t="shared" si="20"/>
        <v>0</v>
      </c>
      <c r="K180" s="141">
        <f t="shared" si="20"/>
        <v>197.9</v>
      </c>
      <c r="L180" s="141">
        <v>262.2</v>
      </c>
      <c r="M180" s="141">
        <v>73.900000000000006</v>
      </c>
      <c r="N180" s="141">
        <v>0</v>
      </c>
      <c r="O180" s="141">
        <v>188.3</v>
      </c>
      <c r="P180" s="141">
        <f>SUM(L180/D180*100)</f>
        <v>39.210408254822788</v>
      </c>
      <c r="Q180" s="141">
        <f>SUM(L180/H180*100)</f>
        <v>92.748496639547213</v>
      </c>
    </row>
    <row r="181" spans="1:17" ht="45" x14ac:dyDescent="0.25">
      <c r="A181" s="167"/>
      <c r="B181" s="167" t="s">
        <v>299</v>
      </c>
      <c r="C181" s="115" t="s">
        <v>252</v>
      </c>
      <c r="D181" s="116">
        <v>668.7</v>
      </c>
      <c r="E181" s="116">
        <v>186.6</v>
      </c>
      <c r="F181" s="116">
        <v>0</v>
      </c>
      <c r="G181" s="116">
        <v>482.1</v>
      </c>
      <c r="H181" s="116">
        <v>282.7</v>
      </c>
      <c r="I181" s="116">
        <v>84.8</v>
      </c>
      <c r="J181" s="116">
        <v>0</v>
      </c>
      <c r="K181" s="116">
        <v>197.9</v>
      </c>
      <c r="L181" s="116">
        <v>262.2</v>
      </c>
      <c r="M181" s="116">
        <v>73.900000000000006</v>
      </c>
      <c r="N181" s="116">
        <v>0</v>
      </c>
      <c r="O181" s="116">
        <v>188.3</v>
      </c>
      <c r="P181" s="141"/>
      <c r="Q181" s="141"/>
    </row>
    <row r="182" spans="1:17" x14ac:dyDescent="0.25">
      <c r="A182" s="139" t="s">
        <v>276</v>
      </c>
      <c r="B182" s="139"/>
      <c r="C182" s="140"/>
      <c r="D182" s="141">
        <v>1209.5</v>
      </c>
      <c r="E182" s="141">
        <v>185</v>
      </c>
      <c r="F182" s="141">
        <v>0</v>
      </c>
      <c r="G182" s="141">
        <v>1024.5</v>
      </c>
      <c r="H182" s="141">
        <f t="shared" ref="H182:K182" si="21">SUBTOTAL(9,H183:H183)</f>
        <v>605</v>
      </c>
      <c r="I182" s="141">
        <f t="shared" si="21"/>
        <v>92.6</v>
      </c>
      <c r="J182" s="141">
        <f t="shared" si="21"/>
        <v>0</v>
      </c>
      <c r="K182" s="141">
        <f t="shared" si="21"/>
        <v>512.4</v>
      </c>
      <c r="L182" s="141">
        <v>603.70000000000005</v>
      </c>
      <c r="M182" s="141">
        <v>91.4</v>
      </c>
      <c r="N182" s="141">
        <v>0</v>
      </c>
      <c r="O182" s="141">
        <v>512.29999999999995</v>
      </c>
      <c r="P182" s="141">
        <f>SUM(L182/D182*100)</f>
        <v>49.913187267465901</v>
      </c>
      <c r="Q182" s="141">
        <f>SUM(L182/H182*100)</f>
        <v>99.785123966942152</v>
      </c>
    </row>
    <row r="183" spans="1:17" ht="45" x14ac:dyDescent="0.25">
      <c r="A183" s="167"/>
      <c r="B183" s="167" t="s">
        <v>299</v>
      </c>
      <c r="C183" s="115" t="s">
        <v>252</v>
      </c>
      <c r="D183" s="116">
        <v>1209.5</v>
      </c>
      <c r="E183" s="116">
        <v>185</v>
      </c>
      <c r="F183" s="116">
        <v>0</v>
      </c>
      <c r="G183" s="116">
        <v>1024.5</v>
      </c>
      <c r="H183" s="116">
        <v>605</v>
      </c>
      <c r="I183" s="116">
        <v>92.6</v>
      </c>
      <c r="J183" s="116">
        <v>0</v>
      </c>
      <c r="K183" s="116">
        <v>512.4</v>
      </c>
      <c r="L183" s="116">
        <v>603.70000000000005</v>
      </c>
      <c r="M183" s="116">
        <v>91.4</v>
      </c>
      <c r="N183" s="116">
        <v>0</v>
      </c>
      <c r="O183" s="116">
        <v>512.29999999999995</v>
      </c>
      <c r="P183" s="141"/>
      <c r="Q183" s="141"/>
    </row>
    <row r="184" spans="1:17" ht="30" x14ac:dyDescent="0.25">
      <c r="A184" s="139" t="s">
        <v>68</v>
      </c>
      <c r="B184" s="139"/>
      <c r="C184" s="140"/>
      <c r="D184" s="141">
        <v>1745.6999999999998</v>
      </c>
      <c r="E184" s="141">
        <v>1745.6999999999998</v>
      </c>
      <c r="F184" s="141">
        <v>1307.5000000000002</v>
      </c>
      <c r="G184" s="141">
        <v>0</v>
      </c>
      <c r="H184" s="141">
        <f t="shared" ref="H184:K184" si="22">SUBTOTAL(9,H185:H187)</f>
        <v>851.1</v>
      </c>
      <c r="I184" s="141">
        <f t="shared" si="22"/>
        <v>851.1</v>
      </c>
      <c r="J184" s="141">
        <f t="shared" si="22"/>
        <v>653.59999999999991</v>
      </c>
      <c r="K184" s="141">
        <f t="shared" si="22"/>
        <v>0</v>
      </c>
      <c r="L184" s="141">
        <v>673.4</v>
      </c>
      <c r="M184" s="141">
        <v>673.4</v>
      </c>
      <c r="N184" s="141">
        <v>573.5</v>
      </c>
      <c r="O184" s="141">
        <v>0</v>
      </c>
      <c r="P184" s="141">
        <f>SUM(L184/D184*100)</f>
        <v>38.574783754367878</v>
      </c>
      <c r="Q184" s="141">
        <f>SUM(L184/H184*100)</f>
        <v>79.121137351662554</v>
      </c>
    </row>
    <row r="185" spans="1:17" ht="12" customHeight="1" x14ac:dyDescent="0.25">
      <c r="A185" s="183"/>
      <c r="B185" s="212" t="s">
        <v>266</v>
      </c>
      <c r="C185" s="115" t="s">
        <v>264</v>
      </c>
      <c r="D185" s="116">
        <v>60</v>
      </c>
      <c r="E185" s="116">
        <v>60</v>
      </c>
      <c r="F185" s="116">
        <v>47.9</v>
      </c>
      <c r="G185" s="116">
        <v>0</v>
      </c>
      <c r="H185" s="116">
        <v>30.3</v>
      </c>
      <c r="I185" s="116">
        <v>30.3</v>
      </c>
      <c r="J185" s="116">
        <v>23.9</v>
      </c>
      <c r="K185" s="116">
        <v>0</v>
      </c>
      <c r="L185" s="116">
        <v>23.3</v>
      </c>
      <c r="M185" s="116">
        <v>23.3</v>
      </c>
      <c r="N185" s="116">
        <v>17.7</v>
      </c>
      <c r="O185" s="116">
        <v>0</v>
      </c>
      <c r="P185" s="141"/>
      <c r="Q185" s="141"/>
    </row>
    <row r="186" spans="1:17" ht="12" customHeight="1" x14ac:dyDescent="0.25">
      <c r="A186" s="183"/>
      <c r="B186" s="212"/>
      <c r="C186" s="115" t="s">
        <v>252</v>
      </c>
      <c r="D186" s="116">
        <v>1597.6</v>
      </c>
      <c r="E186" s="116">
        <v>1597.6</v>
      </c>
      <c r="F186" s="116">
        <v>1172.7</v>
      </c>
      <c r="G186" s="116">
        <v>0</v>
      </c>
      <c r="H186" s="116">
        <v>776.7</v>
      </c>
      <c r="I186" s="116">
        <v>776.7</v>
      </c>
      <c r="J186" s="116">
        <v>586.29999999999995</v>
      </c>
      <c r="K186" s="116">
        <v>0</v>
      </c>
      <c r="L186" s="116">
        <v>606</v>
      </c>
      <c r="M186" s="116">
        <v>606</v>
      </c>
      <c r="N186" s="116">
        <v>512.4</v>
      </c>
      <c r="O186" s="116">
        <v>0</v>
      </c>
      <c r="P186" s="116"/>
      <c r="Q186" s="22"/>
    </row>
    <row r="187" spans="1:17" ht="17.399999999999999" customHeight="1" x14ac:dyDescent="0.25">
      <c r="A187" s="183"/>
      <c r="B187" s="212"/>
      <c r="C187" s="115" t="s">
        <v>254</v>
      </c>
      <c r="D187" s="116">
        <v>88.1</v>
      </c>
      <c r="E187" s="116">
        <v>88.1</v>
      </c>
      <c r="F187" s="116">
        <v>86.9</v>
      </c>
      <c r="G187" s="116">
        <v>0</v>
      </c>
      <c r="H187" s="116">
        <v>44.1</v>
      </c>
      <c r="I187" s="116">
        <v>44.1</v>
      </c>
      <c r="J187" s="116">
        <v>43.4</v>
      </c>
      <c r="K187" s="116">
        <v>0</v>
      </c>
      <c r="L187" s="116">
        <v>44.1</v>
      </c>
      <c r="M187" s="116">
        <v>44.1</v>
      </c>
      <c r="N187" s="116">
        <v>43.4</v>
      </c>
      <c r="O187" s="116">
        <v>0</v>
      </c>
      <c r="P187" s="141"/>
      <c r="Q187" s="141"/>
    </row>
    <row r="188" spans="1:17" ht="30" x14ac:dyDescent="0.25">
      <c r="A188" s="139" t="s">
        <v>314</v>
      </c>
      <c r="B188" s="139"/>
      <c r="C188" s="140"/>
      <c r="D188" s="141">
        <v>3352.9</v>
      </c>
      <c r="E188" s="141">
        <v>3335.8</v>
      </c>
      <c r="F188" s="141">
        <v>2868.7999999999997</v>
      </c>
      <c r="G188" s="141">
        <v>17.100000000000001</v>
      </c>
      <c r="H188" s="141">
        <f t="shared" ref="H188:K188" si="23">SUBTOTAL(9,H189:H192)</f>
        <v>2177.8000000000002</v>
      </c>
      <c r="I188" s="141">
        <f t="shared" si="23"/>
        <v>2160.6999999999998</v>
      </c>
      <c r="J188" s="141">
        <f t="shared" si="23"/>
        <v>1875.0000000000002</v>
      </c>
      <c r="K188" s="141">
        <f t="shared" si="23"/>
        <v>17.100000000000001</v>
      </c>
      <c r="L188" s="141">
        <v>1802.9</v>
      </c>
      <c r="M188" s="141">
        <v>1800.4</v>
      </c>
      <c r="N188" s="141">
        <v>1574.7</v>
      </c>
      <c r="O188" s="141">
        <v>2.5</v>
      </c>
      <c r="P188" s="141">
        <f>SUM(L188/D188*100)</f>
        <v>53.771362104446894</v>
      </c>
      <c r="Q188" s="141">
        <f>SUM(L188/H188*100)</f>
        <v>82.78537974102305</v>
      </c>
    </row>
    <row r="189" spans="1:17" ht="12" customHeight="1" x14ac:dyDescent="0.25">
      <c r="A189" s="183"/>
      <c r="B189" s="212" t="s">
        <v>248</v>
      </c>
      <c r="C189" s="115" t="s">
        <v>250</v>
      </c>
      <c r="D189" s="116">
        <v>1845.4</v>
      </c>
      <c r="E189" s="116">
        <v>1845.4</v>
      </c>
      <c r="F189" s="116">
        <v>1780.1</v>
      </c>
      <c r="G189" s="116">
        <v>0</v>
      </c>
      <c r="H189" s="116">
        <v>1227</v>
      </c>
      <c r="I189" s="116">
        <v>1227</v>
      </c>
      <c r="J189" s="116">
        <v>1187.4000000000001</v>
      </c>
      <c r="K189" s="116">
        <v>0</v>
      </c>
      <c r="L189" s="116">
        <v>1010.7</v>
      </c>
      <c r="M189" s="116">
        <v>1010.7</v>
      </c>
      <c r="N189" s="116">
        <v>982</v>
      </c>
      <c r="O189" s="116">
        <v>0</v>
      </c>
      <c r="P189" s="141"/>
      <c r="Q189" s="141"/>
    </row>
    <row r="190" spans="1:17" ht="12" customHeight="1" x14ac:dyDescent="0.25">
      <c r="A190" s="183"/>
      <c r="B190" s="212"/>
      <c r="C190" s="115" t="s">
        <v>264</v>
      </c>
      <c r="D190" s="116">
        <v>128.9</v>
      </c>
      <c r="E190" s="116">
        <v>128.9</v>
      </c>
      <c r="F190" s="116">
        <v>6.7</v>
      </c>
      <c r="G190" s="116">
        <v>0</v>
      </c>
      <c r="H190" s="116">
        <v>69.3</v>
      </c>
      <c r="I190" s="116">
        <v>69.3</v>
      </c>
      <c r="J190" s="116">
        <v>4.2</v>
      </c>
      <c r="K190" s="116">
        <v>0</v>
      </c>
      <c r="L190" s="116">
        <v>54.6</v>
      </c>
      <c r="M190" s="116">
        <v>54.6</v>
      </c>
      <c r="N190" s="116">
        <v>3.1</v>
      </c>
      <c r="O190" s="116">
        <v>0</v>
      </c>
      <c r="P190" s="141"/>
      <c r="Q190" s="141"/>
    </row>
    <row r="191" spans="1:17" ht="12" customHeight="1" x14ac:dyDescent="0.25">
      <c r="A191" s="183"/>
      <c r="B191" s="212"/>
      <c r="C191" s="115" t="s">
        <v>252</v>
      </c>
      <c r="D191" s="116">
        <v>1360.6</v>
      </c>
      <c r="E191" s="116">
        <v>1343.5</v>
      </c>
      <c r="F191" s="116">
        <v>1064.3</v>
      </c>
      <c r="G191" s="116">
        <v>17.100000000000001</v>
      </c>
      <c r="H191" s="116">
        <v>869.5</v>
      </c>
      <c r="I191" s="116">
        <v>852.4</v>
      </c>
      <c r="J191" s="116">
        <v>671.7</v>
      </c>
      <c r="K191" s="116">
        <v>17.100000000000001</v>
      </c>
      <c r="L191" s="116">
        <v>725.6</v>
      </c>
      <c r="M191" s="116">
        <v>723.1</v>
      </c>
      <c r="N191" s="116">
        <v>577.9</v>
      </c>
      <c r="O191" s="116">
        <v>2.5</v>
      </c>
      <c r="P191" s="116"/>
      <c r="Q191" s="22"/>
    </row>
    <row r="192" spans="1:17" ht="12" customHeight="1" x14ac:dyDescent="0.25">
      <c r="A192" s="183"/>
      <c r="B192" s="212"/>
      <c r="C192" s="115" t="s">
        <v>254</v>
      </c>
      <c r="D192" s="116">
        <v>18</v>
      </c>
      <c r="E192" s="116">
        <v>18</v>
      </c>
      <c r="F192" s="116">
        <v>17.7</v>
      </c>
      <c r="G192" s="116">
        <v>0</v>
      </c>
      <c r="H192" s="116">
        <v>12</v>
      </c>
      <c r="I192" s="116">
        <v>12</v>
      </c>
      <c r="J192" s="116">
        <v>11.7</v>
      </c>
      <c r="K192" s="116">
        <v>0</v>
      </c>
      <c r="L192" s="116">
        <v>12</v>
      </c>
      <c r="M192" s="116">
        <v>12</v>
      </c>
      <c r="N192" s="116">
        <v>11.7</v>
      </c>
      <c r="O192" s="116">
        <v>0</v>
      </c>
      <c r="P192" s="141"/>
      <c r="Q192" s="141"/>
    </row>
    <row r="193" spans="1:17" ht="30" x14ac:dyDescent="0.25">
      <c r="A193" s="139" t="s">
        <v>315</v>
      </c>
      <c r="B193" s="139"/>
      <c r="C193" s="140"/>
      <c r="D193" s="141">
        <v>1709</v>
      </c>
      <c r="E193" s="141">
        <v>1702.7</v>
      </c>
      <c r="F193" s="141">
        <v>1513.4</v>
      </c>
      <c r="G193" s="141">
        <v>6.3</v>
      </c>
      <c r="H193" s="141">
        <f t="shared" ref="H193:K193" si="24">SUBTOTAL(9,H194:H198)</f>
        <v>1097.9000000000001</v>
      </c>
      <c r="I193" s="141">
        <f t="shared" si="24"/>
        <v>1091.5999999999999</v>
      </c>
      <c r="J193" s="141">
        <f t="shared" si="24"/>
        <v>969.10000000000014</v>
      </c>
      <c r="K193" s="141">
        <f t="shared" si="24"/>
        <v>6.3</v>
      </c>
      <c r="L193" s="141">
        <v>771.50000000000011</v>
      </c>
      <c r="M193" s="141">
        <v>765.2</v>
      </c>
      <c r="N193" s="141">
        <v>684.8</v>
      </c>
      <c r="O193" s="141">
        <v>6.3</v>
      </c>
      <c r="P193" s="141">
        <f>SUM(L193/D193*100)</f>
        <v>45.143358689291993</v>
      </c>
      <c r="Q193" s="141">
        <f>SUM(L193/H193*100)</f>
        <v>70.27051644047728</v>
      </c>
    </row>
    <row r="194" spans="1:17" ht="12" customHeight="1" x14ac:dyDescent="0.25">
      <c r="A194" s="183"/>
      <c r="B194" s="212" t="s">
        <v>248</v>
      </c>
      <c r="C194" s="115" t="s">
        <v>250</v>
      </c>
      <c r="D194" s="116">
        <v>860.7</v>
      </c>
      <c r="E194" s="116">
        <v>860.7</v>
      </c>
      <c r="F194" s="116">
        <v>834.1</v>
      </c>
      <c r="G194" s="116">
        <v>0</v>
      </c>
      <c r="H194" s="116">
        <v>573.1</v>
      </c>
      <c r="I194" s="116">
        <v>573.1</v>
      </c>
      <c r="J194" s="116">
        <v>556.70000000000005</v>
      </c>
      <c r="K194" s="116">
        <v>0</v>
      </c>
      <c r="L194" s="116">
        <v>395.1</v>
      </c>
      <c r="M194" s="116">
        <v>395.1</v>
      </c>
      <c r="N194" s="116">
        <v>386.8</v>
      </c>
      <c r="O194" s="116">
        <v>0</v>
      </c>
      <c r="P194" s="141"/>
      <c r="Q194" s="141"/>
    </row>
    <row r="195" spans="1:17" ht="12" customHeight="1" x14ac:dyDescent="0.25">
      <c r="A195" s="183"/>
      <c r="B195" s="212"/>
      <c r="C195" s="115" t="s">
        <v>251</v>
      </c>
      <c r="D195" s="116">
        <v>1.9</v>
      </c>
      <c r="E195" s="116">
        <v>1.9</v>
      </c>
      <c r="F195" s="116">
        <v>1.9</v>
      </c>
      <c r="G195" s="116">
        <v>0</v>
      </c>
      <c r="H195" s="116">
        <v>1.7</v>
      </c>
      <c r="I195" s="116">
        <v>1.7</v>
      </c>
      <c r="J195" s="116">
        <v>1.7</v>
      </c>
      <c r="K195" s="116">
        <v>0</v>
      </c>
      <c r="L195" s="116">
        <v>1.7</v>
      </c>
      <c r="M195" s="116">
        <v>1.7</v>
      </c>
      <c r="N195" s="116">
        <v>1.7</v>
      </c>
      <c r="O195" s="116">
        <v>0</v>
      </c>
      <c r="P195" s="141"/>
      <c r="Q195" s="141"/>
    </row>
    <row r="196" spans="1:17" ht="12" customHeight="1" x14ac:dyDescent="0.25">
      <c r="A196" s="183"/>
      <c r="B196" s="212"/>
      <c r="C196" s="115" t="s">
        <v>264</v>
      </c>
      <c r="D196" s="116">
        <v>48.8</v>
      </c>
      <c r="E196" s="116">
        <v>48.8</v>
      </c>
      <c r="F196" s="116">
        <v>4.7</v>
      </c>
      <c r="G196" s="116">
        <v>0</v>
      </c>
      <c r="H196" s="116">
        <v>25.4</v>
      </c>
      <c r="I196" s="116">
        <v>25.4</v>
      </c>
      <c r="J196" s="116">
        <v>1.2</v>
      </c>
      <c r="K196" s="116">
        <v>0</v>
      </c>
      <c r="L196" s="116">
        <v>21.8</v>
      </c>
      <c r="M196" s="116">
        <v>21.8</v>
      </c>
      <c r="N196" s="116">
        <v>1.2</v>
      </c>
      <c r="O196" s="116">
        <v>0</v>
      </c>
      <c r="P196" s="116"/>
      <c r="Q196" s="22"/>
    </row>
    <row r="197" spans="1:17" ht="12" customHeight="1" x14ac:dyDescent="0.25">
      <c r="A197" s="183"/>
      <c r="B197" s="212"/>
      <c r="C197" s="115" t="s">
        <v>252</v>
      </c>
      <c r="D197" s="116">
        <v>787.7</v>
      </c>
      <c r="E197" s="116">
        <v>781.4</v>
      </c>
      <c r="F197" s="116">
        <v>663</v>
      </c>
      <c r="G197" s="116">
        <v>6.3</v>
      </c>
      <c r="H197" s="116">
        <v>491.1</v>
      </c>
      <c r="I197" s="116">
        <v>484.8</v>
      </c>
      <c r="J197" s="116">
        <v>403.1</v>
      </c>
      <c r="K197" s="116">
        <v>6.3</v>
      </c>
      <c r="L197" s="116">
        <v>346.3</v>
      </c>
      <c r="M197" s="116">
        <v>340</v>
      </c>
      <c r="N197" s="116">
        <v>288.7</v>
      </c>
      <c r="O197" s="116">
        <v>6.3</v>
      </c>
      <c r="P197" s="141"/>
      <c r="Q197" s="141"/>
    </row>
    <row r="198" spans="1:17" ht="12" customHeight="1" x14ac:dyDescent="0.25">
      <c r="A198" s="183"/>
      <c r="B198" s="212"/>
      <c r="C198" s="115" t="s">
        <v>254</v>
      </c>
      <c r="D198" s="116">
        <v>9.9</v>
      </c>
      <c r="E198" s="116">
        <v>9.9</v>
      </c>
      <c r="F198" s="116">
        <v>9.6999999999999993</v>
      </c>
      <c r="G198" s="116">
        <v>0</v>
      </c>
      <c r="H198" s="116">
        <v>6.6</v>
      </c>
      <c r="I198" s="116">
        <v>6.6</v>
      </c>
      <c r="J198" s="116">
        <v>6.4</v>
      </c>
      <c r="K198" s="116">
        <v>0</v>
      </c>
      <c r="L198" s="116">
        <v>6.6</v>
      </c>
      <c r="M198" s="116">
        <v>6.6</v>
      </c>
      <c r="N198" s="116">
        <v>6.4</v>
      </c>
      <c r="O198" s="116">
        <v>0</v>
      </c>
      <c r="P198" s="141"/>
      <c r="Q198" s="141"/>
    </row>
    <row r="199" spans="1:17" ht="45" x14ac:dyDescent="0.25">
      <c r="A199" s="139" t="s">
        <v>316</v>
      </c>
      <c r="B199" s="139"/>
      <c r="C199" s="140"/>
      <c r="D199" s="141">
        <v>1388.2</v>
      </c>
      <c r="E199" s="141">
        <v>1385.7</v>
      </c>
      <c r="F199" s="141">
        <v>1209</v>
      </c>
      <c r="G199" s="141">
        <v>2.5</v>
      </c>
      <c r="H199" s="141">
        <f t="shared" ref="H199:K199" si="25">SUBTOTAL(9,H200:H203)</f>
        <v>907.2</v>
      </c>
      <c r="I199" s="141">
        <f t="shared" si="25"/>
        <v>904.7</v>
      </c>
      <c r="J199" s="141">
        <f t="shared" si="25"/>
        <v>774.30000000000007</v>
      </c>
      <c r="K199" s="141">
        <f t="shared" si="25"/>
        <v>2.5</v>
      </c>
      <c r="L199" s="141">
        <v>748.1</v>
      </c>
      <c r="M199" s="141">
        <v>745.6</v>
      </c>
      <c r="N199" s="141">
        <v>658.8</v>
      </c>
      <c r="O199" s="141">
        <v>2.5</v>
      </c>
      <c r="P199" s="141">
        <f>SUM(L199/D199*100)</f>
        <v>53.889929404984869</v>
      </c>
      <c r="Q199" s="141">
        <f>SUM(L199/H199*100)</f>
        <v>82.46252204585538</v>
      </c>
    </row>
    <row r="200" spans="1:17" ht="12" customHeight="1" x14ac:dyDescent="0.25">
      <c r="A200" s="183"/>
      <c r="B200" s="212" t="s">
        <v>248</v>
      </c>
      <c r="C200" s="115" t="s">
        <v>250</v>
      </c>
      <c r="D200" s="116">
        <v>856</v>
      </c>
      <c r="E200" s="116">
        <v>856</v>
      </c>
      <c r="F200" s="116">
        <v>824.4</v>
      </c>
      <c r="G200" s="116">
        <v>0</v>
      </c>
      <c r="H200" s="116">
        <v>569</v>
      </c>
      <c r="I200" s="116">
        <v>569</v>
      </c>
      <c r="J200" s="116">
        <v>550</v>
      </c>
      <c r="K200" s="116">
        <v>0</v>
      </c>
      <c r="L200" s="116">
        <v>481.2</v>
      </c>
      <c r="M200" s="116">
        <v>481.2</v>
      </c>
      <c r="N200" s="116">
        <v>469.3</v>
      </c>
      <c r="O200" s="116">
        <v>0</v>
      </c>
      <c r="P200" s="141"/>
      <c r="Q200" s="141"/>
    </row>
    <row r="201" spans="1:17" ht="12" customHeight="1" x14ac:dyDescent="0.25">
      <c r="A201" s="183"/>
      <c r="B201" s="212"/>
      <c r="C201" s="115" t="s">
        <v>264</v>
      </c>
      <c r="D201" s="116">
        <v>24.1</v>
      </c>
      <c r="E201" s="116">
        <v>24.1</v>
      </c>
      <c r="F201" s="116">
        <v>2.5</v>
      </c>
      <c r="G201" s="116">
        <v>0</v>
      </c>
      <c r="H201" s="116">
        <v>12.1</v>
      </c>
      <c r="I201" s="116">
        <v>12.1</v>
      </c>
      <c r="J201" s="116">
        <v>1.2</v>
      </c>
      <c r="K201" s="116">
        <v>0</v>
      </c>
      <c r="L201" s="116">
        <v>4.9000000000000004</v>
      </c>
      <c r="M201" s="116">
        <v>4.9000000000000004</v>
      </c>
      <c r="N201" s="116">
        <v>0</v>
      </c>
      <c r="O201" s="116">
        <v>0</v>
      </c>
      <c r="P201" s="141"/>
      <c r="Q201" s="141"/>
    </row>
    <row r="202" spans="1:17" ht="12" customHeight="1" x14ac:dyDescent="0.25">
      <c r="A202" s="183"/>
      <c r="B202" s="212"/>
      <c r="C202" s="115" t="s">
        <v>252</v>
      </c>
      <c r="D202" s="116">
        <v>505.8</v>
      </c>
      <c r="E202" s="116">
        <v>503.3</v>
      </c>
      <c r="F202" s="116">
        <v>379.9</v>
      </c>
      <c r="G202" s="116">
        <v>2.5</v>
      </c>
      <c r="H202" s="116">
        <v>324.5</v>
      </c>
      <c r="I202" s="116">
        <v>322</v>
      </c>
      <c r="J202" s="116">
        <v>221.6</v>
      </c>
      <c r="K202" s="116">
        <v>2.5</v>
      </c>
      <c r="L202" s="116">
        <v>260.39999999999998</v>
      </c>
      <c r="M202" s="116">
        <v>257.89999999999998</v>
      </c>
      <c r="N202" s="116">
        <v>188</v>
      </c>
      <c r="O202" s="116">
        <v>2.5</v>
      </c>
      <c r="P202" s="141"/>
      <c r="Q202" s="141"/>
    </row>
    <row r="203" spans="1:17" ht="12" customHeight="1" x14ac:dyDescent="0.25">
      <c r="A203" s="183"/>
      <c r="B203" s="212"/>
      <c r="C203" s="115" t="s">
        <v>254</v>
      </c>
      <c r="D203" s="116">
        <v>2.2999999999999998</v>
      </c>
      <c r="E203" s="116">
        <v>2.2999999999999998</v>
      </c>
      <c r="F203" s="116">
        <v>2.2000000000000002</v>
      </c>
      <c r="G203" s="116">
        <v>0</v>
      </c>
      <c r="H203" s="116">
        <v>1.6</v>
      </c>
      <c r="I203" s="116">
        <v>1.6</v>
      </c>
      <c r="J203" s="116">
        <v>1.5</v>
      </c>
      <c r="K203" s="116">
        <v>0</v>
      </c>
      <c r="L203" s="116">
        <v>1.6</v>
      </c>
      <c r="M203" s="116">
        <v>1.6</v>
      </c>
      <c r="N203" s="116">
        <v>1.5</v>
      </c>
      <c r="O203" s="116">
        <v>0</v>
      </c>
      <c r="P203" s="116"/>
      <c r="Q203" s="22"/>
    </row>
    <row r="204" spans="1:17" ht="30" x14ac:dyDescent="0.25">
      <c r="A204" s="139" t="s">
        <v>317</v>
      </c>
      <c r="B204" s="139"/>
      <c r="C204" s="140"/>
      <c r="D204" s="141">
        <v>577.19999999999993</v>
      </c>
      <c r="E204" s="141">
        <v>556.19999999999993</v>
      </c>
      <c r="F204" s="141">
        <v>468.7</v>
      </c>
      <c r="G204" s="141">
        <v>21</v>
      </c>
      <c r="H204" s="141">
        <f t="shared" ref="H204:K204" si="26">SUBTOTAL(9,H205:H210)</f>
        <v>367.7</v>
      </c>
      <c r="I204" s="141">
        <f t="shared" si="26"/>
        <v>346.7</v>
      </c>
      <c r="J204" s="141">
        <f t="shared" si="26"/>
        <v>286.89999999999998</v>
      </c>
      <c r="K204" s="141">
        <f t="shared" si="26"/>
        <v>21</v>
      </c>
      <c r="L204" s="141">
        <v>294.59999999999997</v>
      </c>
      <c r="M204" s="141">
        <v>275.79999999999995</v>
      </c>
      <c r="N204" s="141">
        <v>244.6</v>
      </c>
      <c r="O204" s="141">
        <v>18.8</v>
      </c>
      <c r="P204" s="141">
        <f>SUM(L204/D204*100)</f>
        <v>51.039501039501047</v>
      </c>
      <c r="Q204" s="141">
        <f>SUM(L204/H204*100)</f>
        <v>80.119662768561312</v>
      </c>
    </row>
    <row r="205" spans="1:17" ht="12" customHeight="1" x14ac:dyDescent="0.25">
      <c r="A205" s="167"/>
      <c r="B205" s="212" t="s">
        <v>248</v>
      </c>
      <c r="C205" s="115" t="s">
        <v>250</v>
      </c>
      <c r="D205" s="116">
        <v>51.5</v>
      </c>
      <c r="E205" s="116">
        <v>51.5</v>
      </c>
      <c r="F205" s="116">
        <v>50.8</v>
      </c>
      <c r="G205" s="116">
        <v>0</v>
      </c>
      <c r="H205" s="116">
        <v>34.299999999999997</v>
      </c>
      <c r="I205" s="116">
        <v>34.299999999999997</v>
      </c>
      <c r="J205" s="116">
        <v>33.9</v>
      </c>
      <c r="K205" s="116">
        <v>0</v>
      </c>
      <c r="L205" s="116">
        <v>34.299999999999997</v>
      </c>
      <c r="M205" s="116">
        <v>34.299999999999997</v>
      </c>
      <c r="N205" s="116">
        <v>33.9</v>
      </c>
      <c r="O205" s="116">
        <v>0</v>
      </c>
      <c r="P205" s="141"/>
      <c r="Q205" s="141"/>
    </row>
    <row r="206" spans="1:17" ht="12" customHeight="1" x14ac:dyDescent="0.25">
      <c r="A206" s="169"/>
      <c r="B206" s="212"/>
      <c r="C206" s="115" t="s">
        <v>264</v>
      </c>
      <c r="D206" s="116">
        <v>22.4</v>
      </c>
      <c r="E206" s="116">
        <v>22.4</v>
      </c>
      <c r="F206" s="116">
        <v>11.1</v>
      </c>
      <c r="G206" s="116">
        <v>0</v>
      </c>
      <c r="H206" s="116">
        <v>15</v>
      </c>
      <c r="I206" s="116">
        <v>15</v>
      </c>
      <c r="J206" s="116">
        <v>6.6</v>
      </c>
      <c r="K206" s="116">
        <v>0</v>
      </c>
      <c r="L206" s="116">
        <v>8.6</v>
      </c>
      <c r="M206" s="116">
        <v>8.6</v>
      </c>
      <c r="N206" s="116">
        <v>6.2</v>
      </c>
      <c r="O206" s="116">
        <v>0</v>
      </c>
      <c r="P206" s="141"/>
      <c r="Q206" s="141"/>
    </row>
    <row r="207" spans="1:17" ht="12" customHeight="1" x14ac:dyDescent="0.25">
      <c r="A207" s="169"/>
      <c r="B207" s="212"/>
      <c r="C207" s="115" t="s">
        <v>252</v>
      </c>
      <c r="D207" s="116">
        <v>456.9</v>
      </c>
      <c r="E207" s="116">
        <v>453.9</v>
      </c>
      <c r="F207" s="116">
        <v>383.7</v>
      </c>
      <c r="G207" s="116">
        <v>3</v>
      </c>
      <c r="H207" s="116">
        <v>282.7</v>
      </c>
      <c r="I207" s="116">
        <v>279.7</v>
      </c>
      <c r="J207" s="116">
        <v>230.9</v>
      </c>
      <c r="K207" s="116">
        <v>3</v>
      </c>
      <c r="L207" s="116">
        <v>216</v>
      </c>
      <c r="M207" s="116">
        <v>215.2</v>
      </c>
      <c r="N207" s="116">
        <v>189</v>
      </c>
      <c r="O207" s="116">
        <v>0.8</v>
      </c>
      <c r="P207" s="141"/>
      <c r="Q207" s="141"/>
    </row>
    <row r="208" spans="1:17" ht="12" customHeight="1" x14ac:dyDescent="0.25">
      <c r="A208" s="169"/>
      <c r="B208" s="212"/>
      <c r="C208" s="115" t="s">
        <v>254</v>
      </c>
      <c r="D208" s="116">
        <v>23.4</v>
      </c>
      <c r="E208" s="116">
        <v>23.4</v>
      </c>
      <c r="F208" s="116">
        <v>23.1</v>
      </c>
      <c r="G208" s="116">
        <v>0</v>
      </c>
      <c r="H208" s="116">
        <v>15.7</v>
      </c>
      <c r="I208" s="116">
        <v>15.7</v>
      </c>
      <c r="J208" s="116">
        <v>15.5</v>
      </c>
      <c r="K208" s="116">
        <v>0</v>
      </c>
      <c r="L208" s="116">
        <v>15.7</v>
      </c>
      <c r="M208" s="116">
        <v>15.7</v>
      </c>
      <c r="N208" s="116">
        <v>15.5</v>
      </c>
      <c r="O208" s="116">
        <v>0</v>
      </c>
      <c r="P208" s="141"/>
      <c r="Q208" s="141"/>
    </row>
    <row r="209" spans="1:17" ht="30" x14ac:dyDescent="0.25">
      <c r="A209" s="169"/>
      <c r="B209" s="167" t="s">
        <v>256</v>
      </c>
      <c r="C209" s="115" t="s">
        <v>252</v>
      </c>
      <c r="D209" s="116">
        <v>18</v>
      </c>
      <c r="E209" s="116">
        <v>0</v>
      </c>
      <c r="F209" s="116">
        <v>0</v>
      </c>
      <c r="G209" s="116">
        <v>18</v>
      </c>
      <c r="H209" s="116">
        <v>18</v>
      </c>
      <c r="I209" s="116">
        <v>0</v>
      </c>
      <c r="J209" s="116">
        <v>0</v>
      </c>
      <c r="K209" s="116">
        <v>18</v>
      </c>
      <c r="L209" s="116">
        <v>18</v>
      </c>
      <c r="M209" s="116">
        <v>0</v>
      </c>
      <c r="N209" s="116">
        <v>0</v>
      </c>
      <c r="O209" s="116">
        <v>18</v>
      </c>
      <c r="P209" s="141"/>
      <c r="Q209" s="141"/>
    </row>
    <row r="210" spans="1:17" x14ac:dyDescent="0.25">
      <c r="A210" s="169"/>
      <c r="B210" s="167" t="s">
        <v>266</v>
      </c>
      <c r="C210" s="115" t="s">
        <v>252</v>
      </c>
      <c r="D210" s="116">
        <v>5</v>
      </c>
      <c r="E210" s="116">
        <v>5</v>
      </c>
      <c r="F210" s="116">
        <v>0</v>
      </c>
      <c r="G210" s="116">
        <v>0</v>
      </c>
      <c r="H210" s="116">
        <v>2</v>
      </c>
      <c r="I210" s="116">
        <v>2</v>
      </c>
      <c r="J210" s="116">
        <v>0</v>
      </c>
      <c r="K210" s="116">
        <v>0</v>
      </c>
      <c r="L210" s="116">
        <v>2</v>
      </c>
      <c r="M210" s="116">
        <v>2</v>
      </c>
      <c r="N210" s="116">
        <v>0</v>
      </c>
      <c r="O210" s="116">
        <v>0</v>
      </c>
      <c r="P210" s="116"/>
      <c r="Q210" s="22"/>
    </row>
    <row r="211" spans="1:17" ht="30" x14ac:dyDescent="0.25">
      <c r="A211" s="139" t="s">
        <v>318</v>
      </c>
      <c r="B211" s="139"/>
      <c r="C211" s="140"/>
      <c r="D211" s="141">
        <v>2435.2000000000003</v>
      </c>
      <c r="E211" s="141">
        <v>2363.5</v>
      </c>
      <c r="F211" s="141">
        <v>1996.9</v>
      </c>
      <c r="G211" s="141">
        <v>71.7</v>
      </c>
      <c r="H211" s="141">
        <f>SUBTOTAL(9,H212:H216)</f>
        <v>1508.3999999999999</v>
      </c>
      <c r="I211" s="141">
        <f>SUBTOTAL(9,I212:I216)</f>
        <v>1508.3999999999999</v>
      </c>
      <c r="J211" s="141">
        <f>SUBTOTAL(9,J212:J216)</f>
        <v>1331.8999999999999</v>
      </c>
      <c r="K211" s="141">
        <f>SUBTOTAL(9,K212:K216)</f>
        <v>0</v>
      </c>
      <c r="L211" s="141">
        <v>1217.1999999999998</v>
      </c>
      <c r="M211" s="141">
        <v>1217.1999999999998</v>
      </c>
      <c r="N211" s="141">
        <v>1086</v>
      </c>
      <c r="O211" s="141">
        <v>0</v>
      </c>
      <c r="P211" s="141">
        <f>SUM(L211/D211*100)</f>
        <v>49.98357424441523</v>
      </c>
      <c r="Q211" s="141">
        <f>SUM(L211/H211*100)</f>
        <v>80.694775921506221</v>
      </c>
    </row>
    <row r="212" spans="1:17" ht="12" customHeight="1" x14ac:dyDescent="0.25">
      <c r="A212" s="183"/>
      <c r="B212" s="212" t="s">
        <v>248</v>
      </c>
      <c r="C212" s="115" t="s">
        <v>250</v>
      </c>
      <c r="D212" s="116">
        <v>733.6</v>
      </c>
      <c r="E212" s="116">
        <v>733.6</v>
      </c>
      <c r="F212" s="116">
        <v>706.1</v>
      </c>
      <c r="G212" s="116">
        <v>0</v>
      </c>
      <c r="H212" s="116">
        <v>488.8</v>
      </c>
      <c r="I212" s="116">
        <v>488.8</v>
      </c>
      <c r="J212" s="116">
        <v>471</v>
      </c>
      <c r="K212" s="116">
        <v>0</v>
      </c>
      <c r="L212" s="116">
        <v>443.4</v>
      </c>
      <c r="M212" s="116">
        <v>443.4</v>
      </c>
      <c r="N212" s="116">
        <v>433.1</v>
      </c>
      <c r="O212" s="116">
        <v>0</v>
      </c>
      <c r="P212" s="141"/>
      <c r="Q212" s="141"/>
    </row>
    <row r="213" spans="1:17" ht="12" customHeight="1" x14ac:dyDescent="0.25">
      <c r="A213" s="183"/>
      <c r="B213" s="212"/>
      <c r="C213" s="115" t="s">
        <v>251</v>
      </c>
      <c r="D213" s="116">
        <v>1.7</v>
      </c>
      <c r="E213" s="116">
        <v>1.7</v>
      </c>
      <c r="F213" s="116">
        <v>1.7</v>
      </c>
      <c r="G213" s="116">
        <v>0</v>
      </c>
      <c r="H213" s="116">
        <v>1.5</v>
      </c>
      <c r="I213" s="116">
        <v>1.5</v>
      </c>
      <c r="J213" s="116">
        <v>1.5</v>
      </c>
      <c r="K213" s="116">
        <v>0</v>
      </c>
      <c r="L213" s="116">
        <v>1.5</v>
      </c>
      <c r="M213" s="116">
        <v>1.5</v>
      </c>
      <c r="N213" s="116">
        <v>1.5</v>
      </c>
      <c r="O213" s="116">
        <v>0</v>
      </c>
      <c r="P213" s="141"/>
      <c r="Q213" s="141"/>
    </row>
    <row r="214" spans="1:17" ht="12" customHeight="1" x14ac:dyDescent="0.25">
      <c r="A214" s="183"/>
      <c r="B214" s="212"/>
      <c r="C214" s="115" t="s">
        <v>264</v>
      </c>
      <c r="D214" s="116">
        <v>153.9</v>
      </c>
      <c r="E214" s="116">
        <v>153.9</v>
      </c>
      <c r="F214" s="116">
        <v>20.7</v>
      </c>
      <c r="G214" s="116">
        <v>0</v>
      </c>
      <c r="H214" s="116">
        <v>75.099999999999994</v>
      </c>
      <c r="I214" s="116">
        <v>75.099999999999994</v>
      </c>
      <c r="J214" s="116">
        <v>13.8</v>
      </c>
      <c r="K214" s="116">
        <v>0</v>
      </c>
      <c r="L214" s="116">
        <v>51.8</v>
      </c>
      <c r="M214" s="116">
        <v>51.8</v>
      </c>
      <c r="N214" s="116">
        <v>8.4</v>
      </c>
      <c r="O214" s="116">
        <v>0</v>
      </c>
      <c r="P214" s="141"/>
      <c r="Q214" s="141"/>
    </row>
    <row r="215" spans="1:17" ht="12" customHeight="1" x14ac:dyDescent="0.25">
      <c r="A215" s="183"/>
      <c r="B215" s="212"/>
      <c r="C215" s="115" t="s">
        <v>252</v>
      </c>
      <c r="D215" s="116">
        <v>1513.7</v>
      </c>
      <c r="E215" s="116">
        <v>1442</v>
      </c>
      <c r="F215" s="116">
        <v>1236.5</v>
      </c>
      <c r="G215" s="116">
        <v>71.7</v>
      </c>
      <c r="H215" s="116">
        <v>921.4</v>
      </c>
      <c r="I215" s="116">
        <v>921.4</v>
      </c>
      <c r="J215" s="116">
        <v>824.3</v>
      </c>
      <c r="K215" s="116">
        <v>0</v>
      </c>
      <c r="L215" s="116">
        <v>698.9</v>
      </c>
      <c r="M215" s="116">
        <v>698.9</v>
      </c>
      <c r="N215" s="116">
        <v>621.70000000000005</v>
      </c>
      <c r="O215" s="116">
        <v>0</v>
      </c>
      <c r="P215" s="141"/>
      <c r="Q215" s="141"/>
    </row>
    <row r="216" spans="1:17" ht="12" customHeight="1" x14ac:dyDescent="0.25">
      <c r="A216" s="183"/>
      <c r="B216" s="212"/>
      <c r="C216" s="115" t="s">
        <v>254</v>
      </c>
      <c r="D216" s="116">
        <v>32.299999999999997</v>
      </c>
      <c r="E216" s="116">
        <v>32.299999999999997</v>
      </c>
      <c r="F216" s="116">
        <v>31.9</v>
      </c>
      <c r="G216" s="116">
        <v>0</v>
      </c>
      <c r="H216" s="116">
        <v>21.6</v>
      </c>
      <c r="I216" s="116">
        <v>21.6</v>
      </c>
      <c r="J216" s="116">
        <v>21.3</v>
      </c>
      <c r="K216" s="116">
        <v>0</v>
      </c>
      <c r="L216" s="116">
        <v>21.6</v>
      </c>
      <c r="M216" s="116">
        <v>21.6</v>
      </c>
      <c r="N216" s="116">
        <v>21.3</v>
      </c>
      <c r="O216" s="116">
        <v>0</v>
      </c>
      <c r="P216" s="141"/>
      <c r="Q216" s="141"/>
    </row>
    <row r="217" spans="1:17" ht="30" x14ac:dyDescent="0.25">
      <c r="A217" s="139" t="s">
        <v>212</v>
      </c>
      <c r="B217" s="139"/>
      <c r="C217" s="140"/>
      <c r="D217" s="141">
        <v>469.2</v>
      </c>
      <c r="E217" s="141">
        <v>464.2</v>
      </c>
      <c r="F217" s="141">
        <v>344.6</v>
      </c>
      <c r="G217" s="141">
        <v>5</v>
      </c>
      <c r="H217" s="141">
        <f>SUBTOTAL(9,H218:H220)</f>
        <v>273.39999999999998</v>
      </c>
      <c r="I217" s="141">
        <f>SUBTOTAL(9,I218:I220)</f>
        <v>268.39999999999998</v>
      </c>
      <c r="J217" s="141">
        <f>SUBTOTAL(9,J218:J220)</f>
        <v>205</v>
      </c>
      <c r="K217" s="141">
        <f>SUBTOTAL(9,K218:K220)</f>
        <v>5</v>
      </c>
      <c r="L217" s="141">
        <v>189</v>
      </c>
      <c r="M217" s="141">
        <v>189</v>
      </c>
      <c r="N217" s="141">
        <v>155</v>
      </c>
      <c r="O217" s="141">
        <v>0</v>
      </c>
      <c r="P217" s="141">
        <f>SUM(L217/D217*100)</f>
        <v>40.28132992327366</v>
      </c>
      <c r="Q217" s="141">
        <f>SUM(L217/H217*100)</f>
        <v>69.129480614484279</v>
      </c>
    </row>
    <row r="218" spans="1:17" ht="12" customHeight="1" x14ac:dyDescent="0.25">
      <c r="A218" s="183"/>
      <c r="B218" s="212" t="s">
        <v>300</v>
      </c>
      <c r="C218" s="115" t="s">
        <v>264</v>
      </c>
      <c r="D218" s="116">
        <v>3.7</v>
      </c>
      <c r="E218" s="116">
        <v>3.7</v>
      </c>
      <c r="F218" s="116">
        <v>0</v>
      </c>
      <c r="G218" s="116">
        <v>0</v>
      </c>
      <c r="H218" s="116">
        <v>2.5</v>
      </c>
      <c r="I218" s="116">
        <v>2.5</v>
      </c>
      <c r="J218" s="116">
        <v>0</v>
      </c>
      <c r="K218" s="116">
        <v>0</v>
      </c>
      <c r="L218" s="116">
        <v>2</v>
      </c>
      <c r="M218" s="116">
        <v>2</v>
      </c>
      <c r="N218" s="116">
        <v>0</v>
      </c>
      <c r="O218" s="116">
        <v>0</v>
      </c>
      <c r="P218" s="141"/>
      <c r="Q218" s="141"/>
    </row>
    <row r="219" spans="1:17" ht="16.2" customHeight="1" x14ac:dyDescent="0.25">
      <c r="A219" s="183"/>
      <c r="B219" s="212"/>
      <c r="C219" s="115" t="s">
        <v>252</v>
      </c>
      <c r="D219" s="116">
        <v>460.5</v>
      </c>
      <c r="E219" s="116">
        <v>455.5</v>
      </c>
      <c r="F219" s="116">
        <v>344.6</v>
      </c>
      <c r="G219" s="116">
        <v>5</v>
      </c>
      <c r="H219" s="116">
        <v>265.89999999999998</v>
      </c>
      <c r="I219" s="116">
        <v>260.89999999999998</v>
      </c>
      <c r="J219" s="116">
        <v>205</v>
      </c>
      <c r="K219" s="116">
        <v>5</v>
      </c>
      <c r="L219" s="116">
        <v>187</v>
      </c>
      <c r="M219" s="116">
        <v>187</v>
      </c>
      <c r="N219" s="116">
        <v>155</v>
      </c>
      <c r="O219" s="116">
        <v>0</v>
      </c>
      <c r="P219" s="141"/>
      <c r="Q219" s="141"/>
    </row>
    <row r="220" spans="1:17" ht="16.2" customHeight="1" x14ac:dyDescent="0.25">
      <c r="A220" s="183"/>
      <c r="B220" s="212"/>
      <c r="C220" s="115" t="s">
        <v>254</v>
      </c>
      <c r="D220" s="116">
        <v>5</v>
      </c>
      <c r="E220" s="116">
        <v>5</v>
      </c>
      <c r="F220" s="116">
        <v>0</v>
      </c>
      <c r="G220" s="116">
        <v>0</v>
      </c>
      <c r="H220" s="116">
        <v>5</v>
      </c>
      <c r="I220" s="116">
        <v>5</v>
      </c>
      <c r="J220" s="116">
        <v>0</v>
      </c>
      <c r="K220" s="116">
        <v>0</v>
      </c>
      <c r="L220" s="116">
        <v>0</v>
      </c>
      <c r="M220" s="116">
        <v>0</v>
      </c>
      <c r="N220" s="116">
        <v>0</v>
      </c>
      <c r="O220" s="116">
        <v>0</v>
      </c>
      <c r="P220" s="141"/>
      <c r="Q220" s="141"/>
    </row>
    <row r="221" spans="1:17" x14ac:dyDescent="0.25">
      <c r="A221" s="139" t="s">
        <v>71</v>
      </c>
      <c r="B221" s="139"/>
      <c r="C221" s="140"/>
      <c r="D221" s="141">
        <v>656.50000000000011</v>
      </c>
      <c r="E221" s="141">
        <v>650.50000000000011</v>
      </c>
      <c r="F221" s="141">
        <v>500.7</v>
      </c>
      <c r="G221" s="141">
        <v>6</v>
      </c>
      <c r="H221" s="141">
        <f t="shared" ref="H221:K221" si="27">SUBTOTAL(9,H222:H224)</f>
        <v>383.2</v>
      </c>
      <c r="I221" s="141">
        <f t="shared" si="27"/>
        <v>377.8</v>
      </c>
      <c r="J221" s="141">
        <f t="shared" si="27"/>
        <v>291.7</v>
      </c>
      <c r="K221" s="141">
        <f t="shared" si="27"/>
        <v>5.4</v>
      </c>
      <c r="L221" s="141">
        <v>311.49999999999994</v>
      </c>
      <c r="M221" s="141">
        <v>311.39999999999998</v>
      </c>
      <c r="N221" s="141">
        <v>242.10000000000002</v>
      </c>
      <c r="O221" s="141">
        <v>0.1</v>
      </c>
      <c r="P221" s="141">
        <f>SUM(L221/D221*100)</f>
        <v>47.448591012947432</v>
      </c>
      <c r="Q221" s="141">
        <f>SUM(L221/H221*100)</f>
        <v>81.289144050104369</v>
      </c>
    </row>
    <row r="222" spans="1:17" ht="12" customHeight="1" x14ac:dyDescent="0.25">
      <c r="A222" s="183"/>
      <c r="B222" s="212" t="s">
        <v>300</v>
      </c>
      <c r="C222" s="115" t="s">
        <v>264</v>
      </c>
      <c r="D222" s="116">
        <v>15.1</v>
      </c>
      <c r="E222" s="116">
        <v>15.1</v>
      </c>
      <c r="F222" s="116">
        <v>1.5</v>
      </c>
      <c r="G222" s="116">
        <v>0</v>
      </c>
      <c r="H222" s="116">
        <v>6</v>
      </c>
      <c r="I222" s="116">
        <v>6</v>
      </c>
      <c r="J222" s="116">
        <v>0.5</v>
      </c>
      <c r="K222" s="116">
        <v>0</v>
      </c>
      <c r="L222" s="116">
        <v>2.4</v>
      </c>
      <c r="M222" s="116">
        <v>2.4</v>
      </c>
      <c r="N222" s="116">
        <v>0.3</v>
      </c>
      <c r="O222" s="116">
        <v>0</v>
      </c>
      <c r="P222" s="116"/>
      <c r="Q222" s="22"/>
    </row>
    <row r="223" spans="1:17" ht="12" customHeight="1" x14ac:dyDescent="0.25">
      <c r="A223" s="183"/>
      <c r="B223" s="212"/>
      <c r="C223" s="115" t="s">
        <v>252</v>
      </c>
      <c r="D223" s="116">
        <v>635.20000000000005</v>
      </c>
      <c r="E223" s="116">
        <v>629.20000000000005</v>
      </c>
      <c r="F223" s="116">
        <v>499.2</v>
      </c>
      <c r="G223" s="116">
        <v>6</v>
      </c>
      <c r="H223" s="116">
        <v>371</v>
      </c>
      <c r="I223" s="116">
        <v>365.6</v>
      </c>
      <c r="J223" s="116">
        <v>291.2</v>
      </c>
      <c r="K223" s="116">
        <v>5.4</v>
      </c>
      <c r="L223" s="116">
        <v>305.89999999999998</v>
      </c>
      <c r="M223" s="116">
        <v>305.8</v>
      </c>
      <c r="N223" s="116">
        <v>241.8</v>
      </c>
      <c r="O223" s="116">
        <v>0.1</v>
      </c>
      <c r="P223" s="141"/>
      <c r="Q223" s="141"/>
    </row>
    <row r="224" spans="1:17" ht="19.2" customHeight="1" x14ac:dyDescent="0.25">
      <c r="A224" s="183"/>
      <c r="B224" s="212"/>
      <c r="C224" s="115" t="s">
        <v>254</v>
      </c>
      <c r="D224" s="116">
        <v>6.2</v>
      </c>
      <c r="E224" s="116">
        <v>6.2</v>
      </c>
      <c r="F224" s="116">
        <v>0</v>
      </c>
      <c r="G224" s="116">
        <v>0</v>
      </c>
      <c r="H224" s="116">
        <v>6.2</v>
      </c>
      <c r="I224" s="116">
        <v>6.2</v>
      </c>
      <c r="J224" s="116">
        <v>0</v>
      </c>
      <c r="K224" s="116">
        <v>0</v>
      </c>
      <c r="L224" s="116">
        <v>3.2</v>
      </c>
      <c r="M224" s="116">
        <v>3.2</v>
      </c>
      <c r="N224" s="116">
        <v>0</v>
      </c>
      <c r="O224" s="116">
        <v>0</v>
      </c>
      <c r="P224" s="141"/>
      <c r="Q224" s="141"/>
    </row>
    <row r="225" spans="1:17" ht="45" x14ac:dyDescent="0.25">
      <c r="A225" s="139" t="s">
        <v>319</v>
      </c>
      <c r="B225" s="139"/>
      <c r="C225" s="140"/>
      <c r="D225" s="141">
        <v>826.7</v>
      </c>
      <c r="E225" s="141">
        <v>826.7</v>
      </c>
      <c r="F225" s="141">
        <v>779.69999999999993</v>
      </c>
      <c r="G225" s="141">
        <v>0</v>
      </c>
      <c r="H225" s="141">
        <f t="shared" ref="H225:K225" si="28">SUBTOTAL(9,H226:H228)</f>
        <v>520.70000000000005</v>
      </c>
      <c r="I225" s="141">
        <f t="shared" si="28"/>
        <v>520.70000000000005</v>
      </c>
      <c r="J225" s="141">
        <f t="shared" si="28"/>
        <v>492.4</v>
      </c>
      <c r="K225" s="141">
        <f t="shared" si="28"/>
        <v>0</v>
      </c>
      <c r="L225" s="141">
        <v>334.9</v>
      </c>
      <c r="M225" s="141">
        <v>334.9</v>
      </c>
      <c r="N225" s="141">
        <v>319.79999999999995</v>
      </c>
      <c r="O225" s="141">
        <v>0</v>
      </c>
      <c r="P225" s="141">
        <f>SUM(L225/D225*100)</f>
        <v>40.510463287770648</v>
      </c>
      <c r="Q225" s="141">
        <f>SUM(L225/H225*100)</f>
        <v>64.317265219896285</v>
      </c>
    </row>
    <row r="226" spans="1:17" ht="12" customHeight="1" x14ac:dyDescent="0.25">
      <c r="A226" s="183"/>
      <c r="B226" s="212" t="s">
        <v>248</v>
      </c>
      <c r="C226" s="115" t="s">
        <v>250</v>
      </c>
      <c r="D226" s="116">
        <v>400.6</v>
      </c>
      <c r="E226" s="116">
        <v>400.6</v>
      </c>
      <c r="F226" s="116">
        <v>392.7</v>
      </c>
      <c r="G226" s="116">
        <v>0</v>
      </c>
      <c r="H226" s="116">
        <v>267.3</v>
      </c>
      <c r="I226" s="116">
        <v>267.3</v>
      </c>
      <c r="J226" s="116">
        <v>262</v>
      </c>
      <c r="K226" s="116">
        <v>0</v>
      </c>
      <c r="L226" s="116">
        <v>170.6</v>
      </c>
      <c r="M226" s="116">
        <v>170.6</v>
      </c>
      <c r="N226" s="116">
        <v>167.4</v>
      </c>
      <c r="O226" s="116">
        <v>0</v>
      </c>
      <c r="P226" s="141"/>
      <c r="Q226" s="141"/>
    </row>
    <row r="227" spans="1:17" ht="12" customHeight="1" x14ac:dyDescent="0.25">
      <c r="A227" s="183"/>
      <c r="B227" s="212"/>
      <c r="C227" s="115" t="s">
        <v>252</v>
      </c>
      <c r="D227" s="116">
        <v>400.4</v>
      </c>
      <c r="E227" s="116">
        <v>400.4</v>
      </c>
      <c r="F227" s="116">
        <v>361.7</v>
      </c>
      <c r="G227" s="116">
        <v>0</v>
      </c>
      <c r="H227" s="116">
        <v>236.2</v>
      </c>
      <c r="I227" s="116">
        <v>236.2</v>
      </c>
      <c r="J227" s="116">
        <v>213.5</v>
      </c>
      <c r="K227" s="116">
        <v>0</v>
      </c>
      <c r="L227" s="116">
        <v>147.1</v>
      </c>
      <c r="M227" s="116">
        <v>147.1</v>
      </c>
      <c r="N227" s="116">
        <v>135.5</v>
      </c>
      <c r="O227" s="116">
        <v>0</v>
      </c>
      <c r="P227" s="141"/>
      <c r="Q227" s="141"/>
    </row>
    <row r="228" spans="1:17" ht="12" customHeight="1" x14ac:dyDescent="0.25">
      <c r="A228" s="183"/>
      <c r="B228" s="212"/>
      <c r="C228" s="115" t="s">
        <v>254</v>
      </c>
      <c r="D228" s="116">
        <v>25.7</v>
      </c>
      <c r="E228" s="116">
        <v>25.7</v>
      </c>
      <c r="F228" s="116">
        <v>25.3</v>
      </c>
      <c r="G228" s="116">
        <v>0</v>
      </c>
      <c r="H228" s="116">
        <v>17.2</v>
      </c>
      <c r="I228" s="116">
        <v>17.2</v>
      </c>
      <c r="J228" s="116">
        <v>16.899999999999999</v>
      </c>
      <c r="K228" s="116">
        <v>0</v>
      </c>
      <c r="L228" s="116">
        <v>17.2</v>
      </c>
      <c r="M228" s="116">
        <v>17.2</v>
      </c>
      <c r="N228" s="116">
        <v>16.899999999999999</v>
      </c>
      <c r="O228" s="116">
        <v>0</v>
      </c>
      <c r="P228" s="116"/>
      <c r="Q228" s="22"/>
    </row>
    <row r="229" spans="1:17" ht="30" x14ac:dyDescent="0.25">
      <c r="A229" s="139" t="s">
        <v>320</v>
      </c>
      <c r="B229" s="139"/>
      <c r="C229" s="140"/>
      <c r="D229" s="141">
        <v>1804.8000000000002</v>
      </c>
      <c r="E229" s="141">
        <v>1804.8000000000002</v>
      </c>
      <c r="F229" s="141">
        <v>1459.3</v>
      </c>
      <c r="G229" s="141">
        <v>0</v>
      </c>
      <c r="H229" s="141">
        <f t="shared" ref="H229:K229" si="29">SUBTOTAL(9,H230:H234)</f>
        <v>970.5</v>
      </c>
      <c r="I229" s="141">
        <f t="shared" si="29"/>
        <v>970.5</v>
      </c>
      <c r="J229" s="141">
        <f t="shared" si="29"/>
        <v>762.90000000000009</v>
      </c>
      <c r="K229" s="141">
        <f t="shared" si="29"/>
        <v>0</v>
      </c>
      <c r="L229" s="141">
        <v>856.69999999999993</v>
      </c>
      <c r="M229" s="141">
        <v>856.69999999999993</v>
      </c>
      <c r="N229" s="141">
        <v>727.5</v>
      </c>
      <c r="O229" s="141">
        <v>0</v>
      </c>
      <c r="P229" s="141">
        <f>SUM(L229/D229*100)</f>
        <v>47.467863475177296</v>
      </c>
      <c r="Q229" s="141">
        <f>SUM(L229/H229*100)</f>
        <v>88.274085522926313</v>
      </c>
    </row>
    <row r="230" spans="1:17" ht="12" customHeight="1" x14ac:dyDescent="0.25">
      <c r="A230" s="183"/>
      <c r="B230" s="212" t="s">
        <v>248</v>
      </c>
      <c r="C230" s="115" t="s">
        <v>264</v>
      </c>
      <c r="D230" s="116">
        <v>97.7</v>
      </c>
      <c r="E230" s="116">
        <v>97.7</v>
      </c>
      <c r="F230" s="116">
        <v>11.8</v>
      </c>
      <c r="G230" s="116">
        <v>0</v>
      </c>
      <c r="H230" s="116">
        <v>69.8</v>
      </c>
      <c r="I230" s="116">
        <v>69.8</v>
      </c>
      <c r="J230" s="116">
        <v>5.8</v>
      </c>
      <c r="K230" s="116">
        <v>0</v>
      </c>
      <c r="L230" s="116">
        <v>47.4</v>
      </c>
      <c r="M230" s="116">
        <v>47.4</v>
      </c>
      <c r="N230" s="116">
        <v>3.4</v>
      </c>
      <c r="O230" s="116">
        <v>0</v>
      </c>
      <c r="P230" s="141"/>
      <c r="Q230" s="141"/>
    </row>
    <row r="231" spans="1:17" ht="12" customHeight="1" x14ac:dyDescent="0.25">
      <c r="A231" s="183"/>
      <c r="B231" s="212"/>
      <c r="C231" s="115" t="s">
        <v>252</v>
      </c>
      <c r="D231" s="116">
        <v>361.6</v>
      </c>
      <c r="E231" s="116">
        <v>361.6</v>
      </c>
      <c r="F231" s="116">
        <v>295</v>
      </c>
      <c r="G231" s="116">
        <v>0</v>
      </c>
      <c r="H231" s="116">
        <v>219.6</v>
      </c>
      <c r="I231" s="116">
        <v>219.6</v>
      </c>
      <c r="J231" s="116">
        <v>173.7</v>
      </c>
      <c r="K231" s="116">
        <v>0</v>
      </c>
      <c r="L231" s="116">
        <v>178.9</v>
      </c>
      <c r="M231" s="116">
        <v>178.9</v>
      </c>
      <c r="N231" s="116">
        <v>163.1</v>
      </c>
      <c r="O231" s="116">
        <v>0</v>
      </c>
      <c r="P231" s="116"/>
      <c r="Q231" s="22"/>
    </row>
    <row r="232" spans="1:17" ht="12" customHeight="1" x14ac:dyDescent="0.25">
      <c r="A232" s="183"/>
      <c r="B232" s="212"/>
      <c r="C232" s="115" t="s">
        <v>254</v>
      </c>
      <c r="D232" s="116">
        <v>51.6</v>
      </c>
      <c r="E232" s="116">
        <v>51.6</v>
      </c>
      <c r="F232" s="116">
        <v>42.4</v>
      </c>
      <c r="G232" s="116">
        <v>0</v>
      </c>
      <c r="H232" s="116">
        <v>28.7</v>
      </c>
      <c r="I232" s="116">
        <v>28.7</v>
      </c>
      <c r="J232" s="116">
        <v>28.3</v>
      </c>
      <c r="K232" s="116">
        <v>0</v>
      </c>
      <c r="L232" s="116">
        <v>24.4</v>
      </c>
      <c r="M232" s="116">
        <v>24.4</v>
      </c>
      <c r="N232" s="116">
        <v>24.1</v>
      </c>
      <c r="O232" s="116">
        <v>0</v>
      </c>
      <c r="P232" s="141"/>
      <c r="Q232" s="141"/>
    </row>
    <row r="233" spans="1:17" ht="30" x14ac:dyDescent="0.25">
      <c r="A233" s="183"/>
      <c r="B233" s="167" t="s">
        <v>265</v>
      </c>
      <c r="C233" s="115" t="s">
        <v>259</v>
      </c>
      <c r="D233" s="116">
        <v>13</v>
      </c>
      <c r="E233" s="116">
        <v>13</v>
      </c>
      <c r="F233" s="116">
        <v>0</v>
      </c>
      <c r="G233" s="116">
        <v>0</v>
      </c>
      <c r="H233" s="116">
        <v>6.9</v>
      </c>
      <c r="I233" s="116">
        <v>6.9</v>
      </c>
      <c r="J233" s="116">
        <v>0</v>
      </c>
      <c r="K233" s="116">
        <v>0</v>
      </c>
      <c r="L233" s="116">
        <v>5.2</v>
      </c>
      <c r="M233" s="116">
        <v>5.2</v>
      </c>
      <c r="N233" s="116">
        <v>0</v>
      </c>
      <c r="O233" s="116">
        <v>0</v>
      </c>
      <c r="P233" s="141"/>
      <c r="Q233" s="141"/>
    </row>
    <row r="234" spans="1:17" ht="45" x14ac:dyDescent="0.25">
      <c r="A234" s="183"/>
      <c r="B234" s="167" t="s">
        <v>299</v>
      </c>
      <c r="C234" s="115" t="s">
        <v>252</v>
      </c>
      <c r="D234" s="116">
        <v>1280.9000000000001</v>
      </c>
      <c r="E234" s="116">
        <v>1280.9000000000001</v>
      </c>
      <c r="F234" s="116">
        <v>1110.0999999999999</v>
      </c>
      <c r="G234" s="116">
        <v>0</v>
      </c>
      <c r="H234" s="116">
        <v>645.5</v>
      </c>
      <c r="I234" s="116">
        <v>645.5</v>
      </c>
      <c r="J234" s="116">
        <v>555.1</v>
      </c>
      <c r="K234" s="116">
        <v>0</v>
      </c>
      <c r="L234" s="116">
        <v>600.79999999999995</v>
      </c>
      <c r="M234" s="116">
        <v>600.79999999999995</v>
      </c>
      <c r="N234" s="116">
        <v>536.9</v>
      </c>
      <c r="O234" s="116">
        <v>0</v>
      </c>
      <c r="P234" s="141"/>
      <c r="Q234" s="141"/>
    </row>
    <row r="235" spans="1:17" ht="45" x14ac:dyDescent="0.25">
      <c r="A235" s="139" t="s">
        <v>321</v>
      </c>
      <c r="B235" s="139"/>
      <c r="C235" s="140"/>
      <c r="D235" s="141">
        <v>1871.3</v>
      </c>
      <c r="E235" s="141">
        <v>1867.3</v>
      </c>
      <c r="F235" s="141">
        <v>1406.2</v>
      </c>
      <c r="G235" s="141">
        <v>4</v>
      </c>
      <c r="H235" s="141">
        <f t="shared" ref="H235:K235" si="30">SUBTOTAL(9,H236:H243)</f>
        <v>946.9</v>
      </c>
      <c r="I235" s="141">
        <f t="shared" si="30"/>
        <v>946.9</v>
      </c>
      <c r="J235" s="141">
        <f t="shared" si="30"/>
        <v>706.30000000000007</v>
      </c>
      <c r="K235" s="141">
        <f t="shared" si="30"/>
        <v>0</v>
      </c>
      <c r="L235" s="141">
        <v>833.1</v>
      </c>
      <c r="M235" s="141">
        <v>833.1</v>
      </c>
      <c r="N235" s="141">
        <v>703.1</v>
      </c>
      <c r="O235" s="141">
        <v>0</v>
      </c>
      <c r="P235" s="141">
        <f>SUM(L235/D235*100)</f>
        <v>44.519852508950997</v>
      </c>
      <c r="Q235" s="141">
        <f>SUM(L235/H235*100)</f>
        <v>87.981835463090079</v>
      </c>
    </row>
    <row r="236" spans="1:17" ht="12" customHeight="1" x14ac:dyDescent="0.25">
      <c r="A236" s="183"/>
      <c r="B236" s="212" t="s">
        <v>265</v>
      </c>
      <c r="C236" s="115" t="s">
        <v>259</v>
      </c>
      <c r="D236" s="116">
        <v>19.7</v>
      </c>
      <c r="E236" s="116">
        <v>19.7</v>
      </c>
      <c r="F236" s="116">
        <v>0</v>
      </c>
      <c r="G236" s="116">
        <v>0</v>
      </c>
      <c r="H236" s="116">
        <v>10</v>
      </c>
      <c r="I236" s="116">
        <v>10</v>
      </c>
      <c r="J236" s="116">
        <v>0</v>
      </c>
      <c r="K236" s="116">
        <v>0</v>
      </c>
      <c r="L236" s="116">
        <v>4.2</v>
      </c>
      <c r="M236" s="116">
        <v>4.2</v>
      </c>
      <c r="N236" s="116">
        <v>0</v>
      </c>
      <c r="O236" s="116">
        <v>0</v>
      </c>
      <c r="P236" s="141"/>
      <c r="Q236" s="141"/>
    </row>
    <row r="237" spans="1:17" ht="12" customHeight="1" x14ac:dyDescent="0.25">
      <c r="A237" s="183"/>
      <c r="B237" s="212"/>
      <c r="C237" s="115" t="s">
        <v>249</v>
      </c>
      <c r="D237" s="116">
        <v>117.7</v>
      </c>
      <c r="E237" s="116">
        <v>117.7</v>
      </c>
      <c r="F237" s="116">
        <v>0</v>
      </c>
      <c r="G237" s="116">
        <v>0</v>
      </c>
      <c r="H237" s="116">
        <v>66.7</v>
      </c>
      <c r="I237" s="116">
        <v>66.7</v>
      </c>
      <c r="J237" s="116">
        <v>0</v>
      </c>
      <c r="K237" s="116">
        <v>0</v>
      </c>
      <c r="L237" s="116">
        <v>19</v>
      </c>
      <c r="M237" s="116">
        <v>19</v>
      </c>
      <c r="N237" s="116">
        <v>0</v>
      </c>
      <c r="O237" s="116">
        <v>0</v>
      </c>
      <c r="P237" s="116"/>
      <c r="Q237" s="22"/>
    </row>
    <row r="238" spans="1:17" ht="12" customHeight="1" x14ac:dyDescent="0.25">
      <c r="A238" s="183"/>
      <c r="B238" s="212"/>
      <c r="C238" s="115" t="s">
        <v>261</v>
      </c>
      <c r="D238" s="116">
        <v>19.600000000000001</v>
      </c>
      <c r="E238" s="116">
        <v>19.600000000000001</v>
      </c>
      <c r="F238" s="116">
        <v>0</v>
      </c>
      <c r="G238" s="116">
        <v>0</v>
      </c>
      <c r="H238" s="116">
        <v>6</v>
      </c>
      <c r="I238" s="116">
        <v>6</v>
      </c>
      <c r="J238" s="116">
        <v>0</v>
      </c>
      <c r="K238" s="116">
        <v>0</v>
      </c>
      <c r="L238" s="116">
        <v>1.6</v>
      </c>
      <c r="M238" s="116">
        <v>1.6</v>
      </c>
      <c r="N238" s="116">
        <v>0</v>
      </c>
      <c r="O238" s="116">
        <v>0</v>
      </c>
      <c r="P238" s="141"/>
      <c r="Q238" s="141"/>
    </row>
    <row r="239" spans="1:17" ht="12" customHeight="1" x14ac:dyDescent="0.25">
      <c r="A239" s="183"/>
      <c r="B239" s="212"/>
      <c r="C239" s="115" t="s">
        <v>264</v>
      </c>
      <c r="D239" s="116">
        <v>7</v>
      </c>
      <c r="E239" s="116">
        <v>3</v>
      </c>
      <c r="F239" s="116">
        <v>2</v>
      </c>
      <c r="G239" s="116">
        <v>4</v>
      </c>
      <c r="H239" s="116">
        <v>1.3</v>
      </c>
      <c r="I239" s="116">
        <v>1.3</v>
      </c>
      <c r="J239" s="116">
        <v>1</v>
      </c>
      <c r="K239" s="116">
        <v>0</v>
      </c>
      <c r="L239" s="116">
        <v>0</v>
      </c>
      <c r="M239" s="116">
        <v>0</v>
      </c>
      <c r="N239" s="116">
        <v>0</v>
      </c>
      <c r="O239" s="116">
        <v>0</v>
      </c>
      <c r="P239" s="141"/>
      <c r="Q239" s="141"/>
    </row>
    <row r="240" spans="1:17" ht="12" customHeight="1" x14ac:dyDescent="0.25">
      <c r="A240" s="183"/>
      <c r="B240" s="212"/>
      <c r="C240" s="115" t="s">
        <v>252</v>
      </c>
      <c r="D240" s="116">
        <v>619.6</v>
      </c>
      <c r="E240" s="116">
        <v>619.6</v>
      </c>
      <c r="F240" s="116">
        <v>441</v>
      </c>
      <c r="G240" s="116">
        <v>0</v>
      </c>
      <c r="H240" s="116">
        <v>317</v>
      </c>
      <c r="I240" s="116">
        <v>317</v>
      </c>
      <c r="J240" s="116">
        <v>223.7</v>
      </c>
      <c r="K240" s="116">
        <v>0</v>
      </c>
      <c r="L240" s="116">
        <v>279</v>
      </c>
      <c r="M240" s="116">
        <v>279</v>
      </c>
      <c r="N240" s="116">
        <v>222.4</v>
      </c>
      <c r="O240" s="116">
        <v>0</v>
      </c>
      <c r="P240" s="141"/>
      <c r="Q240" s="141"/>
    </row>
    <row r="241" spans="1:17" ht="12" customHeight="1" x14ac:dyDescent="0.25">
      <c r="A241" s="183"/>
      <c r="B241" s="212"/>
      <c r="C241" s="115" t="s">
        <v>254</v>
      </c>
      <c r="D241" s="116">
        <v>0</v>
      </c>
      <c r="E241" s="116">
        <v>0</v>
      </c>
      <c r="F241" s="116">
        <v>0</v>
      </c>
      <c r="G241" s="116">
        <v>0</v>
      </c>
      <c r="H241" s="116">
        <v>0</v>
      </c>
      <c r="I241" s="116">
        <v>0</v>
      </c>
      <c r="J241" s="116">
        <v>0</v>
      </c>
      <c r="K241" s="116">
        <v>0</v>
      </c>
      <c r="L241" s="116">
        <v>0</v>
      </c>
      <c r="M241" s="116">
        <v>0</v>
      </c>
      <c r="N241" s="116">
        <v>0</v>
      </c>
      <c r="O241" s="116">
        <v>0</v>
      </c>
      <c r="P241" s="141"/>
      <c r="Q241" s="141"/>
    </row>
    <row r="242" spans="1:17" ht="12" customHeight="1" x14ac:dyDescent="0.25">
      <c r="A242" s="183"/>
      <c r="B242" s="212"/>
      <c r="C242" s="115" t="s">
        <v>306</v>
      </c>
      <c r="D242" s="116">
        <v>957.4</v>
      </c>
      <c r="E242" s="116">
        <v>957.4</v>
      </c>
      <c r="F242" s="116">
        <v>857</v>
      </c>
      <c r="G242" s="116">
        <v>0</v>
      </c>
      <c r="H242" s="116">
        <v>479.8</v>
      </c>
      <c r="I242" s="116">
        <v>479.8</v>
      </c>
      <c r="J242" s="116">
        <v>428.5</v>
      </c>
      <c r="K242" s="116">
        <v>0</v>
      </c>
      <c r="L242" s="116">
        <v>470.8</v>
      </c>
      <c r="M242" s="116">
        <v>470.8</v>
      </c>
      <c r="N242" s="116">
        <v>428.5</v>
      </c>
      <c r="O242" s="116">
        <v>0</v>
      </c>
      <c r="P242" s="141"/>
      <c r="Q242" s="141"/>
    </row>
    <row r="243" spans="1:17" x14ac:dyDescent="0.25">
      <c r="A243" s="183"/>
      <c r="B243" s="167" t="s">
        <v>266</v>
      </c>
      <c r="C243" s="115" t="s">
        <v>252</v>
      </c>
      <c r="D243" s="116">
        <v>130.30000000000001</v>
      </c>
      <c r="E243" s="116">
        <v>130.30000000000001</v>
      </c>
      <c r="F243" s="116">
        <v>106.2</v>
      </c>
      <c r="G243" s="116">
        <v>0</v>
      </c>
      <c r="H243" s="116">
        <v>66.099999999999994</v>
      </c>
      <c r="I243" s="116">
        <v>66.099999999999994</v>
      </c>
      <c r="J243" s="116">
        <v>53.1</v>
      </c>
      <c r="K243" s="116">
        <v>0</v>
      </c>
      <c r="L243" s="116">
        <v>58.5</v>
      </c>
      <c r="M243" s="116">
        <v>58.5</v>
      </c>
      <c r="N243" s="116">
        <v>52.2</v>
      </c>
      <c r="O243" s="116">
        <v>0</v>
      </c>
      <c r="P243" s="141"/>
      <c r="Q243" s="141"/>
    </row>
    <row r="244" spans="1:17" ht="30" x14ac:dyDescent="0.25">
      <c r="A244" s="139" t="s">
        <v>67</v>
      </c>
      <c r="B244" s="139"/>
      <c r="C244" s="140"/>
      <c r="D244" s="141">
        <v>2007.7</v>
      </c>
      <c r="E244" s="141">
        <v>1967.7</v>
      </c>
      <c r="F244" s="141">
        <v>1852.8</v>
      </c>
      <c r="G244" s="141">
        <v>40</v>
      </c>
      <c r="H244" s="141">
        <f t="shared" ref="H244:K244" si="31">SUBTOTAL(9,H245:H248)</f>
        <v>1068.9000000000001</v>
      </c>
      <c r="I244" s="141">
        <f t="shared" si="31"/>
        <v>1028.9000000000001</v>
      </c>
      <c r="J244" s="141">
        <f t="shared" si="31"/>
        <v>969.40000000000009</v>
      </c>
      <c r="K244" s="141">
        <f t="shared" si="31"/>
        <v>40</v>
      </c>
      <c r="L244" s="141">
        <v>802.3</v>
      </c>
      <c r="M244" s="141">
        <v>802.3</v>
      </c>
      <c r="N244" s="141">
        <v>754.3</v>
      </c>
      <c r="O244" s="141">
        <v>0</v>
      </c>
      <c r="P244" s="141">
        <f>SUM(L244/D244*100)</f>
        <v>39.961149574139561</v>
      </c>
      <c r="Q244" s="141">
        <f>SUM(L244/H244*100)</f>
        <v>75.058471325661884</v>
      </c>
    </row>
    <row r="245" spans="1:17" ht="12" customHeight="1" x14ac:dyDescent="0.25">
      <c r="A245" s="183"/>
      <c r="B245" s="212" t="s">
        <v>266</v>
      </c>
      <c r="C245" s="115" t="s">
        <v>264</v>
      </c>
      <c r="D245" s="116">
        <v>82.8</v>
      </c>
      <c r="E245" s="116">
        <v>82.8</v>
      </c>
      <c r="F245" s="116">
        <v>78.099999999999994</v>
      </c>
      <c r="G245" s="116">
        <v>0</v>
      </c>
      <c r="H245" s="116">
        <v>41.7</v>
      </c>
      <c r="I245" s="116">
        <v>41.7</v>
      </c>
      <c r="J245" s="116">
        <v>39.6</v>
      </c>
      <c r="K245" s="116">
        <v>0</v>
      </c>
      <c r="L245" s="116">
        <v>24.4</v>
      </c>
      <c r="M245" s="116">
        <v>24.4</v>
      </c>
      <c r="N245" s="116">
        <v>23</v>
      </c>
      <c r="O245" s="116">
        <v>0</v>
      </c>
      <c r="P245" s="141"/>
      <c r="Q245" s="141"/>
    </row>
    <row r="246" spans="1:17" ht="12" customHeight="1" x14ac:dyDescent="0.25">
      <c r="A246" s="183"/>
      <c r="B246" s="212"/>
      <c r="C246" s="115" t="s">
        <v>252</v>
      </c>
      <c r="D246" s="116">
        <v>1099.2</v>
      </c>
      <c r="E246" s="116">
        <v>1059.2</v>
      </c>
      <c r="F246" s="116">
        <v>965.5</v>
      </c>
      <c r="G246" s="116">
        <v>40</v>
      </c>
      <c r="H246" s="116">
        <v>607.1</v>
      </c>
      <c r="I246" s="116">
        <v>567.1</v>
      </c>
      <c r="J246" s="116">
        <v>518.20000000000005</v>
      </c>
      <c r="K246" s="116">
        <v>40</v>
      </c>
      <c r="L246" s="116">
        <v>411.7</v>
      </c>
      <c r="M246" s="116">
        <v>411.7</v>
      </c>
      <c r="N246" s="116">
        <v>371.1</v>
      </c>
      <c r="O246" s="116">
        <v>0</v>
      </c>
      <c r="P246" s="141"/>
      <c r="Q246" s="141"/>
    </row>
    <row r="247" spans="1:17" ht="12" customHeight="1" x14ac:dyDescent="0.25">
      <c r="A247" s="183"/>
      <c r="B247" s="212"/>
      <c r="C247" s="115" t="s">
        <v>254</v>
      </c>
      <c r="D247" s="116">
        <v>70.7</v>
      </c>
      <c r="E247" s="116">
        <v>70.7</v>
      </c>
      <c r="F247" s="116">
        <v>69.7</v>
      </c>
      <c r="G247" s="116">
        <v>0</v>
      </c>
      <c r="H247" s="116">
        <v>37.9</v>
      </c>
      <c r="I247" s="116">
        <v>37.9</v>
      </c>
      <c r="J247" s="116">
        <v>37.4</v>
      </c>
      <c r="K247" s="116">
        <v>0</v>
      </c>
      <c r="L247" s="116">
        <v>37</v>
      </c>
      <c r="M247" s="116">
        <v>37</v>
      </c>
      <c r="N247" s="116">
        <v>36.5</v>
      </c>
      <c r="O247" s="116">
        <v>0</v>
      </c>
      <c r="P247" s="141"/>
      <c r="Q247" s="141"/>
    </row>
    <row r="248" spans="1:17" ht="12" customHeight="1" x14ac:dyDescent="0.25">
      <c r="A248" s="183"/>
      <c r="B248" s="212"/>
      <c r="C248" s="115" t="s">
        <v>306</v>
      </c>
      <c r="D248" s="116">
        <v>755</v>
      </c>
      <c r="E248" s="116">
        <v>755</v>
      </c>
      <c r="F248" s="116">
        <v>739.5</v>
      </c>
      <c r="G248" s="116">
        <v>0</v>
      </c>
      <c r="H248" s="116">
        <v>382.2</v>
      </c>
      <c r="I248" s="116">
        <v>382.2</v>
      </c>
      <c r="J248" s="116">
        <v>374.2</v>
      </c>
      <c r="K248" s="116">
        <v>0</v>
      </c>
      <c r="L248" s="116">
        <v>329.2</v>
      </c>
      <c r="M248" s="116">
        <v>329.2</v>
      </c>
      <c r="N248" s="116">
        <v>323.7</v>
      </c>
      <c r="O248" s="116">
        <v>0</v>
      </c>
      <c r="P248" s="141"/>
      <c r="Q248" s="141"/>
    </row>
    <row r="249" spans="1:17" ht="45" x14ac:dyDescent="0.25">
      <c r="A249" s="139" t="s">
        <v>322</v>
      </c>
      <c r="B249" s="139"/>
      <c r="C249" s="140"/>
      <c r="D249" s="141">
        <v>4160.5</v>
      </c>
      <c r="E249" s="141">
        <v>3637.7999999999997</v>
      </c>
      <c r="F249" s="141">
        <v>2137</v>
      </c>
      <c r="G249" s="141">
        <v>522.70000000000005</v>
      </c>
      <c r="H249" s="141">
        <f t="shared" ref="H249:K249" si="32">SUBTOTAL(9,H250:H254)</f>
        <v>2563.9</v>
      </c>
      <c r="I249" s="141">
        <f t="shared" si="32"/>
        <v>2051.1999999999998</v>
      </c>
      <c r="J249" s="141">
        <f t="shared" si="32"/>
        <v>1108.6999999999998</v>
      </c>
      <c r="K249" s="141">
        <f t="shared" si="32"/>
        <v>512.70000000000005</v>
      </c>
      <c r="L249" s="141">
        <v>1544.9</v>
      </c>
      <c r="M249" s="141">
        <v>1298.3000000000002</v>
      </c>
      <c r="N249" s="141">
        <v>806.1</v>
      </c>
      <c r="O249" s="141">
        <v>246.6</v>
      </c>
      <c r="P249" s="141">
        <f>SUM(L249/D249*100)</f>
        <v>37.132556183151067</v>
      </c>
      <c r="Q249" s="141">
        <f>SUM(L249/H249*100)</f>
        <v>60.255860212956826</v>
      </c>
    </row>
    <row r="250" spans="1:17" ht="30" x14ac:dyDescent="0.25">
      <c r="A250" s="183"/>
      <c r="B250" s="167" t="s">
        <v>265</v>
      </c>
      <c r="C250" s="115" t="s">
        <v>259</v>
      </c>
      <c r="D250" s="116">
        <v>28</v>
      </c>
      <c r="E250" s="116">
        <v>28</v>
      </c>
      <c r="F250" s="116">
        <v>12.8</v>
      </c>
      <c r="G250" s="116">
        <v>0</v>
      </c>
      <c r="H250" s="116">
        <v>9.5</v>
      </c>
      <c r="I250" s="116">
        <v>9.5</v>
      </c>
      <c r="J250" s="116">
        <v>4.4000000000000004</v>
      </c>
      <c r="K250" s="116">
        <v>0</v>
      </c>
      <c r="L250" s="116">
        <v>7.8</v>
      </c>
      <c r="M250" s="116">
        <v>7.8</v>
      </c>
      <c r="N250" s="116">
        <v>4.4000000000000004</v>
      </c>
      <c r="O250" s="116">
        <v>0</v>
      </c>
      <c r="P250" s="141"/>
      <c r="Q250" s="141"/>
    </row>
    <row r="251" spans="1:17" ht="12" customHeight="1" x14ac:dyDescent="0.25">
      <c r="A251" s="183"/>
      <c r="B251" s="212" t="s">
        <v>270</v>
      </c>
      <c r="C251" s="115" t="s">
        <v>264</v>
      </c>
      <c r="D251" s="116">
        <v>1859.8</v>
      </c>
      <c r="E251" s="116">
        <v>1810.1</v>
      </c>
      <c r="F251" s="116">
        <v>944.5</v>
      </c>
      <c r="G251" s="116">
        <v>49.7</v>
      </c>
      <c r="H251" s="116">
        <v>1029.5</v>
      </c>
      <c r="I251" s="116">
        <v>979.8</v>
      </c>
      <c r="J251" s="116">
        <v>486.3</v>
      </c>
      <c r="K251" s="116">
        <v>49.7</v>
      </c>
      <c r="L251" s="116">
        <v>492</v>
      </c>
      <c r="M251" s="116">
        <v>469.9</v>
      </c>
      <c r="N251" s="116">
        <v>306.10000000000002</v>
      </c>
      <c r="O251" s="116">
        <v>22.1</v>
      </c>
      <c r="P251" s="141"/>
      <c r="Q251" s="141"/>
    </row>
    <row r="252" spans="1:17" ht="12" customHeight="1" x14ac:dyDescent="0.25">
      <c r="A252" s="183"/>
      <c r="B252" s="212"/>
      <c r="C252" s="115" t="s">
        <v>252</v>
      </c>
      <c r="D252" s="116">
        <v>2143.5</v>
      </c>
      <c r="E252" s="116">
        <v>1740.5</v>
      </c>
      <c r="F252" s="116">
        <v>1150.2</v>
      </c>
      <c r="G252" s="116">
        <v>403</v>
      </c>
      <c r="H252" s="116">
        <v>1429.8</v>
      </c>
      <c r="I252" s="116">
        <v>1026.8</v>
      </c>
      <c r="J252" s="116">
        <v>602.9</v>
      </c>
      <c r="K252" s="116">
        <v>403</v>
      </c>
      <c r="L252" s="116">
        <v>1001.2</v>
      </c>
      <c r="M252" s="116">
        <v>805.2</v>
      </c>
      <c r="N252" s="116">
        <v>480.5</v>
      </c>
      <c r="O252" s="116">
        <v>196</v>
      </c>
      <c r="P252" s="141"/>
      <c r="Q252" s="141"/>
    </row>
    <row r="253" spans="1:17" ht="12" customHeight="1" x14ac:dyDescent="0.25">
      <c r="A253" s="183"/>
      <c r="B253" s="212"/>
      <c r="C253" s="115" t="s">
        <v>254</v>
      </c>
      <c r="D253" s="116">
        <v>30</v>
      </c>
      <c r="E253" s="116">
        <v>30</v>
      </c>
      <c r="F253" s="116">
        <v>29.5</v>
      </c>
      <c r="G253" s="116">
        <v>0</v>
      </c>
      <c r="H253" s="116">
        <v>15.4</v>
      </c>
      <c r="I253" s="116">
        <v>15.4</v>
      </c>
      <c r="J253" s="116">
        <v>15.1</v>
      </c>
      <c r="K253" s="116">
        <v>0</v>
      </c>
      <c r="L253" s="116">
        <v>15.4</v>
      </c>
      <c r="M253" s="116">
        <v>15.4</v>
      </c>
      <c r="N253" s="116">
        <v>15.1</v>
      </c>
      <c r="O253" s="116">
        <v>0</v>
      </c>
      <c r="P253" s="141"/>
      <c r="Q253" s="141"/>
    </row>
    <row r="254" spans="1:17" ht="45" x14ac:dyDescent="0.25">
      <c r="A254" s="183"/>
      <c r="B254" s="167" t="s">
        <v>299</v>
      </c>
      <c r="C254" s="115" t="s">
        <v>252</v>
      </c>
      <c r="D254" s="116">
        <v>99.2</v>
      </c>
      <c r="E254" s="116">
        <v>29.2</v>
      </c>
      <c r="F254" s="116">
        <v>0</v>
      </c>
      <c r="G254" s="116">
        <v>70</v>
      </c>
      <c r="H254" s="116">
        <v>79.7</v>
      </c>
      <c r="I254" s="116">
        <v>19.7</v>
      </c>
      <c r="J254" s="116">
        <v>0</v>
      </c>
      <c r="K254" s="116">
        <v>60</v>
      </c>
      <c r="L254" s="116">
        <v>28.5</v>
      </c>
      <c r="M254" s="116">
        <v>0</v>
      </c>
      <c r="N254" s="116">
        <v>0</v>
      </c>
      <c r="O254" s="116">
        <v>28.5</v>
      </c>
      <c r="P254" s="22"/>
      <c r="Q254" s="22"/>
    </row>
    <row r="255" spans="1:17" x14ac:dyDescent="0.25">
      <c r="A255" s="139" t="s">
        <v>73</v>
      </c>
      <c r="B255" s="139"/>
      <c r="C255" s="140"/>
      <c r="D255" s="141">
        <v>622.4</v>
      </c>
      <c r="E255" s="141">
        <v>617.9</v>
      </c>
      <c r="F255" s="141">
        <v>422.2</v>
      </c>
      <c r="G255" s="141">
        <v>4.5</v>
      </c>
      <c r="H255" s="141">
        <f t="shared" ref="H255:K255" si="33">SUBTOTAL(9,H256:H257)</f>
        <v>333.6</v>
      </c>
      <c r="I255" s="141">
        <f t="shared" si="33"/>
        <v>329.1</v>
      </c>
      <c r="J255" s="141">
        <f t="shared" si="33"/>
        <v>213.6</v>
      </c>
      <c r="K255" s="141">
        <f t="shared" si="33"/>
        <v>4.5</v>
      </c>
      <c r="L255" s="141">
        <v>277.10000000000002</v>
      </c>
      <c r="M255" s="141">
        <v>277.10000000000002</v>
      </c>
      <c r="N255" s="141">
        <v>196.4</v>
      </c>
      <c r="O255" s="141">
        <v>0</v>
      </c>
      <c r="P255" s="141">
        <f>SUM(L255/D255*100)</f>
        <v>44.521208226221084</v>
      </c>
      <c r="Q255" s="141">
        <f>SUM(L255/H255*100)</f>
        <v>83.063549160671471</v>
      </c>
    </row>
    <row r="256" spans="1:17" ht="19.95" customHeight="1" x14ac:dyDescent="0.25">
      <c r="A256" s="183"/>
      <c r="B256" s="212" t="s">
        <v>300</v>
      </c>
      <c r="C256" s="115" t="s">
        <v>264</v>
      </c>
      <c r="D256" s="116">
        <v>7</v>
      </c>
      <c r="E256" s="116">
        <v>7</v>
      </c>
      <c r="F256" s="116">
        <v>0</v>
      </c>
      <c r="G256" s="116">
        <v>0</v>
      </c>
      <c r="H256" s="116">
        <v>5</v>
      </c>
      <c r="I256" s="116">
        <v>5</v>
      </c>
      <c r="J256" s="116">
        <v>0</v>
      </c>
      <c r="K256" s="116">
        <v>0</v>
      </c>
      <c r="L256" s="116">
        <v>0.6</v>
      </c>
      <c r="M256" s="116">
        <v>0.6</v>
      </c>
      <c r="N256" s="116">
        <v>0</v>
      </c>
      <c r="O256" s="116">
        <v>0</v>
      </c>
      <c r="P256" s="141"/>
      <c r="Q256" s="141"/>
    </row>
    <row r="257" spans="1:17" ht="20.399999999999999" customHeight="1" x14ac:dyDescent="0.25">
      <c r="A257" s="183"/>
      <c r="B257" s="212"/>
      <c r="C257" s="115" t="s">
        <v>252</v>
      </c>
      <c r="D257" s="116">
        <v>615.4</v>
      </c>
      <c r="E257" s="116">
        <v>610.9</v>
      </c>
      <c r="F257" s="116">
        <v>422.2</v>
      </c>
      <c r="G257" s="116">
        <v>4.5</v>
      </c>
      <c r="H257" s="116">
        <v>328.6</v>
      </c>
      <c r="I257" s="116">
        <v>324.10000000000002</v>
      </c>
      <c r="J257" s="116">
        <v>213.6</v>
      </c>
      <c r="K257" s="116">
        <v>4.5</v>
      </c>
      <c r="L257" s="116">
        <v>276.5</v>
      </c>
      <c r="M257" s="116">
        <v>276.5</v>
      </c>
      <c r="N257" s="116">
        <v>196.4</v>
      </c>
      <c r="O257" s="116">
        <v>0</v>
      </c>
      <c r="P257" s="22"/>
      <c r="Q257" s="22"/>
    </row>
    <row r="258" spans="1:17" ht="30" x14ac:dyDescent="0.25">
      <c r="A258" s="139" t="s">
        <v>213</v>
      </c>
      <c r="B258" s="139"/>
      <c r="C258" s="140"/>
      <c r="D258" s="141">
        <v>736.5</v>
      </c>
      <c r="E258" s="141">
        <v>710.7</v>
      </c>
      <c r="F258" s="141">
        <v>398.4</v>
      </c>
      <c r="G258" s="141">
        <v>25.8</v>
      </c>
      <c r="H258" s="141">
        <f t="shared" ref="H258:K258" si="34">SUBTOTAL(9,H259:H261)</f>
        <v>461.4</v>
      </c>
      <c r="I258" s="141">
        <f t="shared" si="34"/>
        <v>435.6</v>
      </c>
      <c r="J258" s="141">
        <f t="shared" si="34"/>
        <v>200.2</v>
      </c>
      <c r="K258" s="141">
        <f t="shared" si="34"/>
        <v>25.8</v>
      </c>
      <c r="L258" s="141">
        <v>291.2</v>
      </c>
      <c r="M258" s="141">
        <v>280.59999999999997</v>
      </c>
      <c r="N258" s="141">
        <v>184.2</v>
      </c>
      <c r="O258" s="141">
        <v>10.6</v>
      </c>
      <c r="P258" s="141">
        <f>SUM(L258/D258*100)</f>
        <v>39.538357094365239</v>
      </c>
      <c r="Q258" s="141">
        <f>SUM(L258/H258*100)</f>
        <v>63.112267013437361</v>
      </c>
    </row>
    <row r="259" spans="1:17" ht="12" customHeight="1" x14ac:dyDescent="0.25">
      <c r="A259" s="183"/>
      <c r="B259" s="212" t="s">
        <v>300</v>
      </c>
      <c r="C259" s="115" t="s">
        <v>264</v>
      </c>
      <c r="D259" s="116">
        <v>27</v>
      </c>
      <c r="E259" s="116">
        <v>27</v>
      </c>
      <c r="F259" s="116">
        <v>0</v>
      </c>
      <c r="G259" s="116">
        <v>0</v>
      </c>
      <c r="H259" s="116">
        <v>14.5</v>
      </c>
      <c r="I259" s="116">
        <v>14.5</v>
      </c>
      <c r="J259" s="116">
        <v>0</v>
      </c>
      <c r="K259" s="116">
        <v>0</v>
      </c>
      <c r="L259" s="116">
        <v>3.9</v>
      </c>
      <c r="M259" s="116">
        <v>3.9</v>
      </c>
      <c r="N259" s="116">
        <v>0</v>
      </c>
      <c r="O259" s="116">
        <v>0</v>
      </c>
      <c r="P259" s="141"/>
      <c r="Q259" s="141"/>
    </row>
    <row r="260" spans="1:17" ht="12" customHeight="1" x14ac:dyDescent="0.25">
      <c r="A260" s="183"/>
      <c r="B260" s="212"/>
      <c r="C260" s="115" t="s">
        <v>252</v>
      </c>
      <c r="D260" s="116">
        <v>663</v>
      </c>
      <c r="E260" s="116">
        <v>637.20000000000005</v>
      </c>
      <c r="F260" s="116">
        <v>398.4</v>
      </c>
      <c r="G260" s="116">
        <v>25.8</v>
      </c>
      <c r="H260" s="116">
        <v>400.4</v>
      </c>
      <c r="I260" s="116">
        <v>374.6</v>
      </c>
      <c r="J260" s="116">
        <v>200.2</v>
      </c>
      <c r="K260" s="116">
        <v>25.8</v>
      </c>
      <c r="L260" s="116">
        <v>268.8</v>
      </c>
      <c r="M260" s="116">
        <v>258.2</v>
      </c>
      <c r="N260" s="116">
        <v>184.2</v>
      </c>
      <c r="O260" s="116">
        <v>10.6</v>
      </c>
      <c r="P260" s="22"/>
      <c r="Q260" s="22"/>
    </row>
    <row r="261" spans="1:17" ht="12" customHeight="1" x14ac:dyDescent="0.25">
      <c r="A261" s="183"/>
      <c r="B261" s="212"/>
      <c r="C261" s="115" t="s">
        <v>254</v>
      </c>
      <c r="D261" s="116">
        <v>46.5</v>
      </c>
      <c r="E261" s="116">
        <v>46.5</v>
      </c>
      <c r="F261" s="116">
        <v>0</v>
      </c>
      <c r="G261" s="116">
        <v>0</v>
      </c>
      <c r="H261" s="116">
        <v>46.5</v>
      </c>
      <c r="I261" s="116">
        <v>46.5</v>
      </c>
      <c r="J261" s="116">
        <v>0</v>
      </c>
      <c r="K261" s="116">
        <v>0</v>
      </c>
      <c r="L261" s="116">
        <v>18.5</v>
      </c>
      <c r="M261" s="116">
        <v>18.5</v>
      </c>
      <c r="N261" s="116">
        <v>0</v>
      </c>
      <c r="O261" s="116">
        <v>0</v>
      </c>
      <c r="P261" s="22"/>
      <c r="Q261" s="22"/>
    </row>
    <row r="262" spans="1:17" x14ac:dyDescent="0.25">
      <c r="A262" s="139" t="s">
        <v>74</v>
      </c>
      <c r="B262" s="139"/>
      <c r="C262" s="140"/>
      <c r="D262" s="141">
        <v>742.7</v>
      </c>
      <c r="E262" s="141">
        <v>740.1</v>
      </c>
      <c r="F262" s="141">
        <v>470.1</v>
      </c>
      <c r="G262" s="141">
        <v>2.6</v>
      </c>
      <c r="H262" s="141">
        <f t="shared" ref="H262:K262" si="35">SUBTOTAL(9,H263:H265)</f>
        <v>445</v>
      </c>
      <c r="I262" s="141">
        <f t="shared" si="35"/>
        <v>442.40000000000003</v>
      </c>
      <c r="J262" s="141">
        <f t="shared" si="35"/>
        <v>238</v>
      </c>
      <c r="K262" s="141">
        <f t="shared" si="35"/>
        <v>2.6</v>
      </c>
      <c r="L262" s="141">
        <v>297</v>
      </c>
      <c r="M262" s="141">
        <v>294.39999999999998</v>
      </c>
      <c r="N262" s="141">
        <v>230.1</v>
      </c>
      <c r="O262" s="141">
        <v>2.6</v>
      </c>
      <c r="P262" s="141">
        <f>SUM(L262/D262*100)</f>
        <v>39.989228490642247</v>
      </c>
      <c r="Q262" s="141">
        <f>SUM(L262/H262*100)</f>
        <v>66.741573033707866</v>
      </c>
    </row>
    <row r="263" spans="1:17" ht="12" customHeight="1" x14ac:dyDescent="0.25">
      <c r="A263" s="183"/>
      <c r="B263" s="212" t="s">
        <v>300</v>
      </c>
      <c r="C263" s="115" t="s">
        <v>264</v>
      </c>
      <c r="D263" s="116">
        <v>4</v>
      </c>
      <c r="E263" s="116">
        <v>4</v>
      </c>
      <c r="F263" s="116">
        <v>0</v>
      </c>
      <c r="G263" s="116">
        <v>0</v>
      </c>
      <c r="H263" s="116">
        <v>1.6</v>
      </c>
      <c r="I263" s="116">
        <v>1.6</v>
      </c>
      <c r="J263" s="116">
        <v>0</v>
      </c>
      <c r="K263" s="116">
        <v>0</v>
      </c>
      <c r="L263" s="116">
        <v>0</v>
      </c>
      <c r="M263" s="116">
        <v>0</v>
      </c>
      <c r="N263" s="116">
        <v>0</v>
      </c>
      <c r="O263" s="116">
        <v>0</v>
      </c>
      <c r="P263" s="141"/>
      <c r="Q263" s="141"/>
    </row>
    <row r="264" spans="1:17" ht="16.2" customHeight="1" x14ac:dyDescent="0.25">
      <c r="A264" s="183"/>
      <c r="B264" s="212"/>
      <c r="C264" s="115" t="s">
        <v>252</v>
      </c>
      <c r="D264" s="116">
        <v>731.7</v>
      </c>
      <c r="E264" s="116">
        <v>729.1</v>
      </c>
      <c r="F264" s="116">
        <v>470.1</v>
      </c>
      <c r="G264" s="116">
        <v>2.6</v>
      </c>
      <c r="H264" s="116">
        <v>436.4</v>
      </c>
      <c r="I264" s="116">
        <v>433.8</v>
      </c>
      <c r="J264" s="116">
        <v>238</v>
      </c>
      <c r="K264" s="116">
        <v>2.6</v>
      </c>
      <c r="L264" s="116">
        <v>297</v>
      </c>
      <c r="M264" s="116">
        <v>294.39999999999998</v>
      </c>
      <c r="N264" s="116">
        <v>230.1</v>
      </c>
      <c r="O264" s="116">
        <v>2.6</v>
      </c>
      <c r="P264" s="141"/>
      <c r="Q264" s="141"/>
    </row>
    <row r="265" spans="1:17" ht="19.95" customHeight="1" x14ac:dyDescent="0.25">
      <c r="A265" s="183"/>
      <c r="B265" s="212"/>
      <c r="C265" s="115" t="s">
        <v>254</v>
      </c>
      <c r="D265" s="116">
        <v>7</v>
      </c>
      <c r="E265" s="116">
        <v>7</v>
      </c>
      <c r="F265" s="116">
        <v>0</v>
      </c>
      <c r="G265" s="116">
        <v>0</v>
      </c>
      <c r="H265" s="116">
        <v>7</v>
      </c>
      <c r="I265" s="116">
        <v>7</v>
      </c>
      <c r="J265" s="116">
        <v>0</v>
      </c>
      <c r="K265" s="116">
        <v>0</v>
      </c>
      <c r="L265" s="116">
        <v>0</v>
      </c>
      <c r="M265" s="116">
        <v>0</v>
      </c>
      <c r="N265" s="116">
        <v>0</v>
      </c>
      <c r="O265" s="116">
        <v>0</v>
      </c>
      <c r="P265" s="141"/>
      <c r="Q265" s="141"/>
    </row>
    <row r="266" spans="1:17" x14ac:dyDescent="0.25">
      <c r="A266" s="139" t="s">
        <v>75</v>
      </c>
      <c r="B266" s="139"/>
      <c r="C266" s="140"/>
      <c r="D266" s="141">
        <v>573.30000000000007</v>
      </c>
      <c r="E266" s="141">
        <v>534.9</v>
      </c>
      <c r="F266" s="141">
        <v>394.7</v>
      </c>
      <c r="G266" s="141">
        <v>38.4</v>
      </c>
      <c r="H266" s="141">
        <f t="shared" ref="H266:K266" si="36">SUBTOTAL(9,H267:H269)</f>
        <v>279.5</v>
      </c>
      <c r="I266" s="141">
        <f t="shared" si="36"/>
        <v>251.1</v>
      </c>
      <c r="J266" s="141">
        <f t="shared" si="36"/>
        <v>198</v>
      </c>
      <c r="K266" s="141">
        <f t="shared" si="36"/>
        <v>28.4</v>
      </c>
      <c r="L266" s="141">
        <v>221.6</v>
      </c>
      <c r="M266" s="141">
        <v>218.2</v>
      </c>
      <c r="N266" s="141">
        <v>182.1</v>
      </c>
      <c r="O266" s="141">
        <v>3.4</v>
      </c>
      <c r="P266" s="141">
        <f>SUM(L266/D266*100)</f>
        <v>38.653410081981505</v>
      </c>
      <c r="Q266" s="141">
        <f>SUM(L266/H266*100)</f>
        <v>79.284436493738824</v>
      </c>
    </row>
    <row r="267" spans="1:17" ht="12" customHeight="1" x14ac:dyDescent="0.25">
      <c r="A267" s="183"/>
      <c r="B267" s="212" t="s">
        <v>300</v>
      </c>
      <c r="C267" s="115" t="s">
        <v>264</v>
      </c>
      <c r="D267" s="116">
        <v>16</v>
      </c>
      <c r="E267" s="116">
        <v>16</v>
      </c>
      <c r="F267" s="116">
        <v>0</v>
      </c>
      <c r="G267" s="116">
        <v>0</v>
      </c>
      <c r="H267" s="116">
        <v>8.6999999999999993</v>
      </c>
      <c r="I267" s="116">
        <v>8.6999999999999993</v>
      </c>
      <c r="J267" s="116">
        <v>0</v>
      </c>
      <c r="K267" s="116">
        <v>0</v>
      </c>
      <c r="L267" s="116">
        <v>2.5</v>
      </c>
      <c r="M267" s="116">
        <v>2.5</v>
      </c>
      <c r="N267" s="116">
        <v>0</v>
      </c>
      <c r="O267" s="116">
        <v>0</v>
      </c>
      <c r="P267" s="22"/>
      <c r="Q267" s="22"/>
    </row>
    <row r="268" spans="1:17" ht="14.4" customHeight="1" x14ac:dyDescent="0.25">
      <c r="A268" s="183"/>
      <c r="B268" s="212"/>
      <c r="C268" s="115" t="s">
        <v>252</v>
      </c>
      <c r="D268" s="116">
        <v>548.70000000000005</v>
      </c>
      <c r="E268" s="116">
        <v>510.3</v>
      </c>
      <c r="F268" s="116">
        <v>394.7</v>
      </c>
      <c r="G268" s="116">
        <v>38.4</v>
      </c>
      <c r="H268" s="116">
        <v>267.8</v>
      </c>
      <c r="I268" s="116">
        <v>239.4</v>
      </c>
      <c r="J268" s="116">
        <v>198</v>
      </c>
      <c r="K268" s="116">
        <v>28.4</v>
      </c>
      <c r="L268" s="116">
        <v>216.1</v>
      </c>
      <c r="M268" s="116">
        <v>212.7</v>
      </c>
      <c r="N268" s="116">
        <v>182.1</v>
      </c>
      <c r="O268" s="116">
        <v>3.4</v>
      </c>
      <c r="P268" s="141"/>
      <c r="Q268" s="141"/>
    </row>
    <row r="269" spans="1:17" ht="17.399999999999999" customHeight="1" x14ac:dyDescent="0.25">
      <c r="A269" s="183"/>
      <c r="B269" s="212"/>
      <c r="C269" s="115" t="s">
        <v>254</v>
      </c>
      <c r="D269" s="116">
        <v>8.6</v>
      </c>
      <c r="E269" s="116">
        <v>8.6</v>
      </c>
      <c r="F269" s="116">
        <v>0</v>
      </c>
      <c r="G269" s="116">
        <v>0</v>
      </c>
      <c r="H269" s="116">
        <v>3</v>
      </c>
      <c r="I269" s="116">
        <v>3</v>
      </c>
      <c r="J269" s="116">
        <v>0</v>
      </c>
      <c r="K269" s="116">
        <v>0</v>
      </c>
      <c r="L269" s="116">
        <v>3</v>
      </c>
      <c r="M269" s="116">
        <v>3</v>
      </c>
      <c r="N269" s="116">
        <v>0</v>
      </c>
      <c r="O269" s="116">
        <v>0</v>
      </c>
      <c r="P269" s="141"/>
      <c r="Q269" s="141"/>
    </row>
    <row r="270" spans="1:17" ht="30" x14ac:dyDescent="0.25">
      <c r="A270" s="139" t="s">
        <v>323</v>
      </c>
      <c r="B270" s="139"/>
      <c r="C270" s="140"/>
      <c r="D270" s="141">
        <v>230.7</v>
      </c>
      <c r="E270" s="141">
        <v>230.7</v>
      </c>
      <c r="F270" s="141">
        <v>216.2</v>
      </c>
      <c r="G270" s="141">
        <v>0</v>
      </c>
      <c r="H270" s="141">
        <f t="shared" ref="H270:K270" si="37">SUBTOTAL(9,H271:H271)</f>
        <v>116.2</v>
      </c>
      <c r="I270" s="141">
        <f t="shared" si="37"/>
        <v>116.2</v>
      </c>
      <c r="J270" s="141">
        <f t="shared" si="37"/>
        <v>108</v>
      </c>
      <c r="K270" s="141">
        <f t="shared" si="37"/>
        <v>0</v>
      </c>
      <c r="L270" s="141">
        <v>79.599999999999994</v>
      </c>
      <c r="M270" s="141">
        <v>79.599999999999994</v>
      </c>
      <c r="N270" s="141">
        <v>75.900000000000006</v>
      </c>
      <c r="O270" s="141">
        <v>0</v>
      </c>
      <c r="P270" s="141">
        <f>SUM(L270/D270*100)</f>
        <v>34.503684438664934</v>
      </c>
      <c r="Q270" s="141">
        <f>SUM(L270/H270*100)</f>
        <v>68.502581755593795</v>
      </c>
    </row>
    <row r="271" spans="1:17" ht="45" x14ac:dyDescent="0.25">
      <c r="A271" s="167"/>
      <c r="B271" s="167" t="s">
        <v>299</v>
      </c>
      <c r="C271" s="115" t="s">
        <v>252</v>
      </c>
      <c r="D271" s="116">
        <v>230.7</v>
      </c>
      <c r="E271" s="116">
        <v>230.7</v>
      </c>
      <c r="F271" s="116">
        <v>216.2</v>
      </c>
      <c r="G271" s="116">
        <v>0</v>
      </c>
      <c r="H271" s="116">
        <v>116.2</v>
      </c>
      <c r="I271" s="116">
        <v>116.2</v>
      </c>
      <c r="J271" s="116">
        <v>108</v>
      </c>
      <c r="K271" s="116">
        <v>0</v>
      </c>
      <c r="L271" s="116">
        <v>79.599999999999994</v>
      </c>
      <c r="M271" s="116">
        <v>79.599999999999994</v>
      </c>
      <c r="N271" s="116">
        <v>75.900000000000006</v>
      </c>
      <c r="O271" s="116">
        <v>0</v>
      </c>
      <c r="P271" s="141"/>
      <c r="Q271" s="141"/>
    </row>
    <row r="272" spans="1:17" ht="45" x14ac:dyDescent="0.25">
      <c r="A272" s="139" t="s">
        <v>324</v>
      </c>
      <c r="B272" s="139"/>
      <c r="C272" s="140"/>
      <c r="D272" s="141">
        <v>1215.7</v>
      </c>
      <c r="E272" s="141">
        <v>1215.1000000000001</v>
      </c>
      <c r="F272" s="141">
        <v>1005.5999999999999</v>
      </c>
      <c r="G272" s="141">
        <v>0.6</v>
      </c>
      <c r="H272" s="141">
        <f t="shared" ref="H272:K272" si="38">SUBTOTAL(9,H273:H276)</f>
        <v>662.4</v>
      </c>
      <c r="I272" s="141">
        <f t="shared" si="38"/>
        <v>662.4</v>
      </c>
      <c r="J272" s="141">
        <f t="shared" si="38"/>
        <v>496.1</v>
      </c>
      <c r="K272" s="141">
        <f t="shared" si="38"/>
        <v>0</v>
      </c>
      <c r="L272" s="141">
        <v>607.69999999999993</v>
      </c>
      <c r="M272" s="141">
        <v>607.69999999999993</v>
      </c>
      <c r="N272" s="141">
        <v>493.5</v>
      </c>
      <c r="O272" s="141">
        <v>0</v>
      </c>
      <c r="P272" s="141">
        <f>SUM(L272/D272*100)</f>
        <v>49.987661429629014</v>
      </c>
      <c r="Q272" s="141">
        <f>SUM(L272/H272*100)</f>
        <v>91.74214975845409</v>
      </c>
    </row>
    <row r="273" spans="1:17" x14ac:dyDescent="0.25">
      <c r="A273" s="183"/>
      <c r="B273" s="167" t="s">
        <v>258</v>
      </c>
      <c r="C273" s="115" t="s">
        <v>252</v>
      </c>
      <c r="D273" s="116">
        <v>63</v>
      </c>
      <c r="E273" s="116">
        <v>63</v>
      </c>
      <c r="F273" s="116">
        <v>0</v>
      </c>
      <c r="G273" s="116">
        <v>0</v>
      </c>
      <c r="H273" s="116">
        <v>63</v>
      </c>
      <c r="I273" s="116">
        <v>63</v>
      </c>
      <c r="J273" s="116">
        <v>0</v>
      </c>
      <c r="K273" s="116">
        <v>0</v>
      </c>
      <c r="L273" s="116">
        <v>19.5</v>
      </c>
      <c r="M273" s="116">
        <v>19.5</v>
      </c>
      <c r="N273" s="116">
        <v>0</v>
      </c>
      <c r="O273" s="116">
        <v>0</v>
      </c>
      <c r="P273" s="141"/>
      <c r="Q273" s="141"/>
    </row>
    <row r="274" spans="1:17" ht="12" customHeight="1" x14ac:dyDescent="0.25">
      <c r="A274" s="183"/>
      <c r="B274" s="212" t="s">
        <v>299</v>
      </c>
      <c r="C274" s="115" t="s">
        <v>264</v>
      </c>
      <c r="D274" s="116">
        <v>1</v>
      </c>
      <c r="E274" s="116">
        <v>1</v>
      </c>
      <c r="F274" s="116">
        <v>0</v>
      </c>
      <c r="G274" s="116">
        <v>0</v>
      </c>
      <c r="H274" s="116">
        <v>0</v>
      </c>
      <c r="I274" s="116">
        <v>0</v>
      </c>
      <c r="J274" s="116">
        <v>0</v>
      </c>
      <c r="K274" s="116">
        <v>0</v>
      </c>
      <c r="L274" s="116">
        <v>0</v>
      </c>
      <c r="M274" s="116">
        <v>0</v>
      </c>
      <c r="N274" s="116">
        <v>0</v>
      </c>
      <c r="O274" s="116">
        <v>0</v>
      </c>
      <c r="P274" s="141"/>
      <c r="Q274" s="141"/>
    </row>
    <row r="275" spans="1:17" ht="15" customHeight="1" x14ac:dyDescent="0.25">
      <c r="A275" s="183"/>
      <c r="B275" s="212"/>
      <c r="C275" s="115" t="s">
        <v>252</v>
      </c>
      <c r="D275" s="116">
        <v>64.2</v>
      </c>
      <c r="E275" s="116">
        <v>64.2</v>
      </c>
      <c r="F275" s="116">
        <v>12.3</v>
      </c>
      <c r="G275" s="116">
        <v>0</v>
      </c>
      <c r="H275" s="116">
        <v>58.6</v>
      </c>
      <c r="I275" s="116">
        <v>58.6</v>
      </c>
      <c r="J275" s="116">
        <v>12.3</v>
      </c>
      <c r="K275" s="116">
        <v>0</v>
      </c>
      <c r="L275" s="116">
        <v>55.8</v>
      </c>
      <c r="M275" s="116">
        <v>55.8</v>
      </c>
      <c r="N275" s="116">
        <v>9.6999999999999993</v>
      </c>
      <c r="O275" s="116">
        <v>0</v>
      </c>
      <c r="P275" s="141"/>
      <c r="Q275" s="141"/>
    </row>
    <row r="276" spans="1:17" ht="18.600000000000001" customHeight="1" x14ac:dyDescent="0.25">
      <c r="A276" s="183"/>
      <c r="B276" s="212"/>
      <c r="C276" s="115" t="s">
        <v>306</v>
      </c>
      <c r="D276" s="116">
        <v>1087.5</v>
      </c>
      <c r="E276" s="116">
        <v>1086.9000000000001</v>
      </c>
      <c r="F276" s="116">
        <v>993.3</v>
      </c>
      <c r="G276" s="116">
        <v>0.6</v>
      </c>
      <c r="H276" s="116">
        <v>540.79999999999995</v>
      </c>
      <c r="I276" s="116">
        <v>540.79999999999995</v>
      </c>
      <c r="J276" s="116">
        <v>483.8</v>
      </c>
      <c r="K276" s="116">
        <v>0</v>
      </c>
      <c r="L276" s="116">
        <v>532.4</v>
      </c>
      <c r="M276" s="116">
        <v>532.4</v>
      </c>
      <c r="N276" s="116">
        <v>483.8</v>
      </c>
      <c r="O276" s="116">
        <v>0</v>
      </c>
      <c r="P276" s="141"/>
      <c r="Q276" s="141"/>
    </row>
    <row r="277" spans="1:17" ht="30" x14ac:dyDescent="0.25">
      <c r="A277" s="139" t="s">
        <v>69</v>
      </c>
      <c r="B277" s="139"/>
      <c r="C277" s="140"/>
      <c r="D277" s="141">
        <v>2455.6</v>
      </c>
      <c r="E277" s="141">
        <v>2398.5</v>
      </c>
      <c r="F277" s="141">
        <v>1800.8999999999999</v>
      </c>
      <c r="G277" s="141">
        <v>57.1</v>
      </c>
      <c r="H277" s="141">
        <f t="shared" ref="H277:K277" si="39">SUBTOTAL(9,H278:H280)</f>
        <v>1245.6000000000001</v>
      </c>
      <c r="I277" s="141">
        <f t="shared" si="39"/>
        <v>1228.5</v>
      </c>
      <c r="J277" s="141">
        <f t="shared" si="39"/>
        <v>914.2</v>
      </c>
      <c r="K277" s="141">
        <f t="shared" si="39"/>
        <v>17.100000000000001</v>
      </c>
      <c r="L277" s="141">
        <v>1219.1000000000001</v>
      </c>
      <c r="M277" s="141">
        <v>1215.3000000000002</v>
      </c>
      <c r="N277" s="141">
        <v>913.90000000000009</v>
      </c>
      <c r="O277" s="141">
        <v>3.8</v>
      </c>
      <c r="P277" s="141">
        <f>SUM(L277/D277*100)</f>
        <v>49.64570776999512</v>
      </c>
      <c r="Q277" s="141">
        <f>SUM(L277/H277*100)</f>
        <v>97.872511239563266</v>
      </c>
    </row>
    <row r="278" spans="1:17" ht="12" customHeight="1" x14ac:dyDescent="0.25">
      <c r="A278" s="183"/>
      <c r="B278" s="212" t="s">
        <v>266</v>
      </c>
      <c r="C278" s="115" t="s">
        <v>264</v>
      </c>
      <c r="D278" s="116">
        <v>2100</v>
      </c>
      <c r="E278" s="116">
        <v>2082.9</v>
      </c>
      <c r="F278" s="116">
        <v>1512.1</v>
      </c>
      <c r="G278" s="116">
        <v>17.100000000000001</v>
      </c>
      <c r="H278" s="116">
        <v>1086.9000000000001</v>
      </c>
      <c r="I278" s="116">
        <v>1069.8</v>
      </c>
      <c r="J278" s="116">
        <v>770</v>
      </c>
      <c r="K278" s="116">
        <v>17.100000000000001</v>
      </c>
      <c r="L278" s="116">
        <v>1060.5</v>
      </c>
      <c r="M278" s="116">
        <v>1056.7</v>
      </c>
      <c r="N278" s="116">
        <v>769.7</v>
      </c>
      <c r="O278" s="116">
        <v>3.8</v>
      </c>
      <c r="P278" s="141"/>
      <c r="Q278" s="141"/>
    </row>
    <row r="279" spans="1:17" ht="12" customHeight="1" x14ac:dyDescent="0.25">
      <c r="A279" s="183"/>
      <c r="B279" s="212"/>
      <c r="C279" s="115" t="s">
        <v>252</v>
      </c>
      <c r="D279" s="116">
        <v>60.5</v>
      </c>
      <c r="E279" s="116">
        <v>20.5</v>
      </c>
      <c r="F279" s="116">
        <v>0</v>
      </c>
      <c r="G279" s="116">
        <v>40</v>
      </c>
      <c r="H279" s="116">
        <v>11.3</v>
      </c>
      <c r="I279" s="116">
        <v>11.3</v>
      </c>
      <c r="J279" s="116">
        <v>0</v>
      </c>
      <c r="K279" s="116">
        <v>0</v>
      </c>
      <c r="L279" s="116">
        <v>11.2</v>
      </c>
      <c r="M279" s="116">
        <v>11.2</v>
      </c>
      <c r="N279" s="116">
        <v>0</v>
      </c>
      <c r="O279" s="116">
        <v>0</v>
      </c>
      <c r="P279" s="141"/>
      <c r="Q279" s="141"/>
    </row>
    <row r="280" spans="1:17" ht="12" customHeight="1" x14ac:dyDescent="0.25">
      <c r="A280" s="183"/>
      <c r="B280" s="212"/>
      <c r="C280" s="115" t="s">
        <v>254</v>
      </c>
      <c r="D280" s="116">
        <v>295.10000000000002</v>
      </c>
      <c r="E280" s="116">
        <v>295.10000000000002</v>
      </c>
      <c r="F280" s="116">
        <v>288.8</v>
      </c>
      <c r="G280" s="116">
        <v>0</v>
      </c>
      <c r="H280" s="116">
        <v>147.4</v>
      </c>
      <c r="I280" s="116">
        <v>147.4</v>
      </c>
      <c r="J280" s="116">
        <v>144.19999999999999</v>
      </c>
      <c r="K280" s="116">
        <v>0</v>
      </c>
      <c r="L280" s="116">
        <v>147.4</v>
      </c>
      <c r="M280" s="116">
        <v>147.4</v>
      </c>
      <c r="N280" s="116">
        <v>144.19999999999999</v>
      </c>
      <c r="O280" s="116">
        <v>0</v>
      </c>
      <c r="P280" s="141"/>
      <c r="Q280" s="141"/>
    </row>
    <row r="281" spans="1:17" ht="45" x14ac:dyDescent="0.25">
      <c r="A281" s="139" t="s">
        <v>325</v>
      </c>
      <c r="B281" s="139"/>
      <c r="C281" s="140"/>
      <c r="D281" s="141">
        <v>3020.3999999999996</v>
      </c>
      <c r="E281" s="141">
        <v>3004.8999999999996</v>
      </c>
      <c r="F281" s="141">
        <v>2591.6999999999998</v>
      </c>
      <c r="G281" s="141">
        <v>15.5</v>
      </c>
      <c r="H281" s="141">
        <f t="shared" ref="H281:K281" si="40">SUBTOTAL(9,H282:H285)</f>
        <v>1871.6000000000001</v>
      </c>
      <c r="I281" s="141">
        <f t="shared" si="40"/>
        <v>1856.1000000000001</v>
      </c>
      <c r="J281" s="141">
        <f t="shared" si="40"/>
        <v>1595.2</v>
      </c>
      <c r="K281" s="141">
        <f t="shared" si="40"/>
        <v>15.5</v>
      </c>
      <c r="L281" s="141">
        <v>1547.2</v>
      </c>
      <c r="M281" s="141">
        <v>1536.7</v>
      </c>
      <c r="N281" s="141">
        <v>1317.6</v>
      </c>
      <c r="O281" s="141">
        <v>10.5</v>
      </c>
      <c r="P281" s="141">
        <f>SUM(L281/D281*100)</f>
        <v>51.225003310819758</v>
      </c>
      <c r="Q281" s="141">
        <f>SUM(L281/H281*100)</f>
        <v>82.667236589014749</v>
      </c>
    </row>
    <row r="282" spans="1:17" ht="12" customHeight="1" x14ac:dyDescent="0.25">
      <c r="A282" s="183"/>
      <c r="B282" s="212" t="s">
        <v>248</v>
      </c>
      <c r="C282" s="115" t="s">
        <v>250</v>
      </c>
      <c r="D282" s="116">
        <v>1318.1</v>
      </c>
      <c r="E282" s="116">
        <v>1318.1</v>
      </c>
      <c r="F282" s="116">
        <v>1271.2</v>
      </c>
      <c r="G282" s="116">
        <v>0</v>
      </c>
      <c r="H282" s="116">
        <v>874.9</v>
      </c>
      <c r="I282" s="116">
        <v>874.9</v>
      </c>
      <c r="J282" s="116">
        <v>847.8</v>
      </c>
      <c r="K282" s="116">
        <v>0</v>
      </c>
      <c r="L282" s="116">
        <v>684.4</v>
      </c>
      <c r="M282" s="116">
        <v>684.4</v>
      </c>
      <c r="N282" s="116">
        <v>665.9</v>
      </c>
      <c r="O282" s="116">
        <v>0</v>
      </c>
      <c r="P282" s="141"/>
      <c r="Q282" s="141"/>
    </row>
    <row r="283" spans="1:17" ht="12" customHeight="1" x14ac:dyDescent="0.25">
      <c r="A283" s="183"/>
      <c r="B283" s="212"/>
      <c r="C283" s="115" t="s">
        <v>264</v>
      </c>
      <c r="D283" s="116">
        <v>126.5</v>
      </c>
      <c r="E283" s="116">
        <v>124.6</v>
      </c>
      <c r="F283" s="116">
        <v>18.100000000000001</v>
      </c>
      <c r="G283" s="116">
        <v>1.9</v>
      </c>
      <c r="H283" s="116">
        <v>81.8</v>
      </c>
      <c r="I283" s="116">
        <v>79.900000000000006</v>
      </c>
      <c r="J283" s="116">
        <v>10</v>
      </c>
      <c r="K283" s="116">
        <v>1.9</v>
      </c>
      <c r="L283" s="116">
        <v>73.099999999999994</v>
      </c>
      <c r="M283" s="116">
        <v>71.3</v>
      </c>
      <c r="N283" s="116">
        <v>6.9</v>
      </c>
      <c r="O283" s="116">
        <v>1.8</v>
      </c>
      <c r="P283" s="141"/>
      <c r="Q283" s="141"/>
    </row>
    <row r="284" spans="1:17" ht="12" customHeight="1" x14ac:dyDescent="0.25">
      <c r="A284" s="183"/>
      <c r="B284" s="212"/>
      <c r="C284" s="115" t="s">
        <v>252</v>
      </c>
      <c r="D284" s="116">
        <v>1549.3</v>
      </c>
      <c r="E284" s="116">
        <v>1535.7</v>
      </c>
      <c r="F284" s="116">
        <v>1276.3</v>
      </c>
      <c r="G284" s="116">
        <v>13.6</v>
      </c>
      <c r="H284" s="116">
        <v>897.2</v>
      </c>
      <c r="I284" s="116">
        <v>883.6</v>
      </c>
      <c r="J284" s="116">
        <v>720</v>
      </c>
      <c r="K284" s="116">
        <v>13.6</v>
      </c>
      <c r="L284" s="116">
        <v>772</v>
      </c>
      <c r="M284" s="116">
        <v>763.3</v>
      </c>
      <c r="N284" s="116">
        <v>627.4</v>
      </c>
      <c r="O284" s="116">
        <v>8.6999999999999993</v>
      </c>
      <c r="P284" s="141"/>
      <c r="Q284" s="141"/>
    </row>
    <row r="285" spans="1:17" ht="12" customHeight="1" x14ac:dyDescent="0.25">
      <c r="A285" s="183"/>
      <c r="B285" s="212"/>
      <c r="C285" s="115" t="s">
        <v>254</v>
      </c>
      <c r="D285" s="116">
        <v>26.5</v>
      </c>
      <c r="E285" s="116">
        <v>26.5</v>
      </c>
      <c r="F285" s="116">
        <v>26.1</v>
      </c>
      <c r="G285" s="116">
        <v>0</v>
      </c>
      <c r="H285" s="116">
        <v>17.7</v>
      </c>
      <c r="I285" s="116">
        <v>17.7</v>
      </c>
      <c r="J285" s="116">
        <v>17.399999999999999</v>
      </c>
      <c r="K285" s="116">
        <v>0</v>
      </c>
      <c r="L285" s="116">
        <v>17.7</v>
      </c>
      <c r="M285" s="116">
        <v>17.7</v>
      </c>
      <c r="N285" s="116">
        <v>17.399999999999999</v>
      </c>
      <c r="O285" s="116">
        <v>0</v>
      </c>
      <c r="P285" s="141"/>
      <c r="Q285" s="141"/>
    </row>
    <row r="286" spans="1:17" x14ac:dyDescent="0.25">
      <c r="A286" s="139" t="s">
        <v>326</v>
      </c>
      <c r="B286" s="139"/>
      <c r="C286" s="140"/>
      <c r="D286" s="141">
        <v>757.6</v>
      </c>
      <c r="E286" s="141">
        <v>114</v>
      </c>
      <c r="F286" s="141">
        <v>0</v>
      </c>
      <c r="G286" s="141">
        <v>643.6</v>
      </c>
      <c r="H286" s="141">
        <f t="shared" ref="H286:K286" si="41">SUBTOTAL(9,H287:H287)</f>
        <v>378.9</v>
      </c>
      <c r="I286" s="141">
        <f t="shared" si="41"/>
        <v>57</v>
      </c>
      <c r="J286" s="141">
        <f t="shared" si="41"/>
        <v>0</v>
      </c>
      <c r="K286" s="141">
        <f t="shared" si="41"/>
        <v>321.89999999999998</v>
      </c>
      <c r="L286" s="141">
        <v>377.6</v>
      </c>
      <c r="M286" s="141">
        <v>55.8</v>
      </c>
      <c r="N286" s="141">
        <v>0</v>
      </c>
      <c r="O286" s="141">
        <v>321.8</v>
      </c>
      <c r="P286" s="141">
        <f>SUM(L286/D286*100)</f>
        <v>49.841605068637804</v>
      </c>
      <c r="Q286" s="141">
        <f>SUM(L286/H286*100)</f>
        <v>99.656901557139093</v>
      </c>
    </row>
    <row r="287" spans="1:17" ht="45" x14ac:dyDescent="0.25">
      <c r="A287" s="167"/>
      <c r="B287" s="167" t="s">
        <v>299</v>
      </c>
      <c r="C287" s="115" t="s">
        <v>252</v>
      </c>
      <c r="D287" s="116">
        <v>757.6</v>
      </c>
      <c r="E287" s="116">
        <v>114</v>
      </c>
      <c r="F287" s="116">
        <v>0</v>
      </c>
      <c r="G287" s="116">
        <v>643.6</v>
      </c>
      <c r="H287" s="116">
        <v>378.9</v>
      </c>
      <c r="I287" s="116">
        <v>57</v>
      </c>
      <c r="J287" s="116">
        <v>0</v>
      </c>
      <c r="K287" s="116">
        <v>321.89999999999998</v>
      </c>
      <c r="L287" s="116">
        <v>377.6</v>
      </c>
      <c r="M287" s="116">
        <v>55.8</v>
      </c>
      <c r="N287" s="116">
        <v>0</v>
      </c>
      <c r="O287" s="116">
        <v>321.8</v>
      </c>
      <c r="P287" s="141"/>
      <c r="Q287" s="141"/>
    </row>
    <row r="288" spans="1:17" ht="30" x14ac:dyDescent="0.25">
      <c r="A288" s="139" t="s">
        <v>277</v>
      </c>
      <c r="B288" s="139"/>
      <c r="C288" s="140"/>
      <c r="D288" s="141">
        <v>399.6</v>
      </c>
      <c r="E288" s="141">
        <v>321.39999999999998</v>
      </c>
      <c r="F288" s="141">
        <v>244</v>
      </c>
      <c r="G288" s="141">
        <v>78.2</v>
      </c>
      <c r="H288" s="141">
        <f t="shared" ref="H288:K288" si="42">SUBTOTAL(9,H289:H290)</f>
        <v>164.3</v>
      </c>
      <c r="I288" s="141">
        <f t="shared" si="42"/>
        <v>147.1</v>
      </c>
      <c r="J288" s="141">
        <f t="shared" si="42"/>
        <v>122</v>
      </c>
      <c r="K288" s="141">
        <f t="shared" si="42"/>
        <v>17.2</v>
      </c>
      <c r="L288" s="141">
        <v>136.6</v>
      </c>
      <c r="M288" s="141">
        <v>131.4</v>
      </c>
      <c r="N288" s="141">
        <v>112.9</v>
      </c>
      <c r="O288" s="141">
        <v>5.2</v>
      </c>
      <c r="P288" s="141">
        <f>SUM(L288/D288*100)</f>
        <v>34.184184184184183</v>
      </c>
      <c r="Q288" s="141">
        <f>SUM(L288/H288*100)</f>
        <v>83.140596469872179</v>
      </c>
    </row>
    <row r="289" spans="1:17" ht="12" customHeight="1" x14ac:dyDescent="0.25">
      <c r="A289" s="183"/>
      <c r="B289" s="212" t="s">
        <v>266</v>
      </c>
      <c r="C289" s="115" t="s">
        <v>264</v>
      </c>
      <c r="D289" s="116">
        <v>1</v>
      </c>
      <c r="E289" s="116">
        <v>1</v>
      </c>
      <c r="F289" s="116">
        <v>0</v>
      </c>
      <c r="G289" s="116">
        <v>0</v>
      </c>
      <c r="H289" s="116">
        <v>0.5</v>
      </c>
      <c r="I289" s="116">
        <v>0.5</v>
      </c>
      <c r="J289" s="116">
        <v>0</v>
      </c>
      <c r="K289" s="116">
        <v>0</v>
      </c>
      <c r="L289" s="116">
        <v>0</v>
      </c>
      <c r="M289" s="116">
        <v>0</v>
      </c>
      <c r="N289" s="116">
        <v>0</v>
      </c>
      <c r="O289" s="116">
        <v>0</v>
      </c>
      <c r="P289" s="141"/>
      <c r="Q289" s="141"/>
    </row>
    <row r="290" spans="1:17" ht="18.600000000000001" customHeight="1" x14ac:dyDescent="0.25">
      <c r="A290" s="183"/>
      <c r="B290" s="212"/>
      <c r="C290" s="115" t="s">
        <v>252</v>
      </c>
      <c r="D290" s="116">
        <v>398.6</v>
      </c>
      <c r="E290" s="116">
        <v>320.39999999999998</v>
      </c>
      <c r="F290" s="116">
        <v>244</v>
      </c>
      <c r="G290" s="116">
        <v>78.2</v>
      </c>
      <c r="H290" s="116">
        <v>163.80000000000001</v>
      </c>
      <c r="I290" s="116">
        <v>146.6</v>
      </c>
      <c r="J290" s="116">
        <v>122</v>
      </c>
      <c r="K290" s="116">
        <v>17.2</v>
      </c>
      <c r="L290" s="116">
        <v>136.6</v>
      </c>
      <c r="M290" s="116">
        <v>131.4</v>
      </c>
      <c r="N290" s="116">
        <v>112.9</v>
      </c>
      <c r="O290" s="116">
        <v>5.2</v>
      </c>
      <c r="P290" s="141"/>
      <c r="Q290" s="141"/>
    </row>
    <row r="291" spans="1:17" x14ac:dyDescent="0.25">
      <c r="A291" s="139" t="s">
        <v>278</v>
      </c>
      <c r="B291" s="139"/>
      <c r="C291" s="140"/>
      <c r="D291" s="141">
        <v>127.6</v>
      </c>
      <c r="E291" s="141">
        <v>14.4</v>
      </c>
      <c r="F291" s="141">
        <v>0</v>
      </c>
      <c r="G291" s="141">
        <v>113.2</v>
      </c>
      <c r="H291" s="141">
        <f t="shared" ref="H291:K291" si="43">SUBTOTAL(9,H292:H292)</f>
        <v>63.9</v>
      </c>
      <c r="I291" s="141">
        <f t="shared" si="43"/>
        <v>7.2</v>
      </c>
      <c r="J291" s="141">
        <f t="shared" si="43"/>
        <v>0</v>
      </c>
      <c r="K291" s="141">
        <f t="shared" si="43"/>
        <v>56.7</v>
      </c>
      <c r="L291" s="141">
        <v>61.8</v>
      </c>
      <c r="M291" s="141">
        <v>5.2</v>
      </c>
      <c r="N291" s="141">
        <v>0</v>
      </c>
      <c r="O291" s="141">
        <v>56.6</v>
      </c>
      <c r="P291" s="141">
        <f>SUM(L291/D291*100)</f>
        <v>48.432601880877741</v>
      </c>
      <c r="Q291" s="141">
        <f>SUM(L291/H291*100)</f>
        <v>96.713615023474176</v>
      </c>
    </row>
    <row r="292" spans="1:17" ht="58.2" customHeight="1" x14ac:dyDescent="0.25">
      <c r="A292" s="167"/>
      <c r="B292" s="167" t="s">
        <v>299</v>
      </c>
      <c r="C292" s="115" t="s">
        <v>252</v>
      </c>
      <c r="D292" s="116">
        <v>127.6</v>
      </c>
      <c r="E292" s="116">
        <v>14.4</v>
      </c>
      <c r="F292" s="116">
        <v>0</v>
      </c>
      <c r="G292" s="116">
        <v>113.2</v>
      </c>
      <c r="H292" s="116">
        <v>63.9</v>
      </c>
      <c r="I292" s="116">
        <v>7.2</v>
      </c>
      <c r="J292" s="116">
        <v>0</v>
      </c>
      <c r="K292" s="116">
        <v>56.7</v>
      </c>
      <c r="L292" s="116">
        <v>61.8</v>
      </c>
      <c r="M292" s="116">
        <v>5.2</v>
      </c>
      <c r="N292" s="116">
        <v>0</v>
      </c>
      <c r="O292" s="116">
        <v>56.6</v>
      </c>
      <c r="P292" s="22"/>
      <c r="Q292" s="22"/>
    </row>
    <row r="293" spans="1:17" ht="30" x14ac:dyDescent="0.25">
      <c r="A293" s="139" t="s">
        <v>232</v>
      </c>
      <c r="B293" s="139"/>
      <c r="C293" s="140"/>
      <c r="D293" s="141">
        <v>4127.7000000000007</v>
      </c>
      <c r="E293" s="141">
        <v>4127.7000000000007</v>
      </c>
      <c r="F293" s="141">
        <v>3494.0000000000005</v>
      </c>
      <c r="G293" s="141">
        <v>0</v>
      </c>
      <c r="H293" s="141">
        <f t="shared" ref="H293:K293" si="44">SUBTOTAL(9,H294:H297)</f>
        <v>2565.5</v>
      </c>
      <c r="I293" s="141">
        <f t="shared" si="44"/>
        <v>2565.5</v>
      </c>
      <c r="J293" s="141">
        <f t="shared" si="44"/>
        <v>2220.7000000000003</v>
      </c>
      <c r="K293" s="141">
        <f t="shared" si="44"/>
        <v>0</v>
      </c>
      <c r="L293" s="141">
        <v>1705.1</v>
      </c>
      <c r="M293" s="141">
        <v>1705.1</v>
      </c>
      <c r="N293" s="141">
        <v>1517.8</v>
      </c>
      <c r="O293" s="141">
        <v>0</v>
      </c>
      <c r="P293" s="141">
        <f>SUM(L293/D293*100)</f>
        <v>41.308719141410464</v>
      </c>
      <c r="Q293" s="141">
        <f>SUM(L293/H293*100)</f>
        <v>66.462677840576873</v>
      </c>
    </row>
    <row r="294" spans="1:17" ht="12" customHeight="1" x14ac:dyDescent="0.25">
      <c r="A294" s="183"/>
      <c r="B294" s="212" t="s">
        <v>248</v>
      </c>
      <c r="C294" s="115" t="s">
        <v>250</v>
      </c>
      <c r="D294" s="116">
        <v>2153.3000000000002</v>
      </c>
      <c r="E294" s="116">
        <v>2153.3000000000002</v>
      </c>
      <c r="F294" s="116">
        <v>2060.5</v>
      </c>
      <c r="G294" s="116">
        <v>0</v>
      </c>
      <c r="H294" s="116">
        <v>1430</v>
      </c>
      <c r="I294" s="116">
        <v>1430</v>
      </c>
      <c r="J294" s="116">
        <v>1374.4</v>
      </c>
      <c r="K294" s="116">
        <v>0</v>
      </c>
      <c r="L294" s="116">
        <v>979.7</v>
      </c>
      <c r="M294" s="116">
        <v>979.7</v>
      </c>
      <c r="N294" s="116">
        <v>954.2</v>
      </c>
      <c r="O294" s="116">
        <v>0</v>
      </c>
      <c r="P294" s="22"/>
      <c r="Q294" s="22"/>
    </row>
    <row r="295" spans="1:17" ht="12" customHeight="1" x14ac:dyDescent="0.25">
      <c r="A295" s="183"/>
      <c r="B295" s="212"/>
      <c r="C295" s="115" t="s">
        <v>264</v>
      </c>
      <c r="D295" s="116">
        <v>291.3</v>
      </c>
      <c r="E295" s="116">
        <v>291.3</v>
      </c>
      <c r="F295" s="116">
        <v>32.799999999999997</v>
      </c>
      <c r="G295" s="116">
        <v>0</v>
      </c>
      <c r="H295" s="116">
        <v>134.6</v>
      </c>
      <c r="I295" s="116">
        <v>134.6</v>
      </c>
      <c r="J295" s="116">
        <v>16.2</v>
      </c>
      <c r="K295" s="116">
        <v>0</v>
      </c>
      <c r="L295" s="116">
        <v>83.7</v>
      </c>
      <c r="M295" s="116">
        <v>83.7</v>
      </c>
      <c r="N295" s="116">
        <v>11.6</v>
      </c>
      <c r="O295" s="116">
        <v>0</v>
      </c>
      <c r="P295" s="22"/>
      <c r="Q295" s="22"/>
    </row>
    <row r="296" spans="1:17" ht="12" customHeight="1" x14ac:dyDescent="0.25">
      <c r="A296" s="183"/>
      <c r="B296" s="212"/>
      <c r="C296" s="115" t="s">
        <v>252</v>
      </c>
      <c r="D296" s="116">
        <v>1633.5</v>
      </c>
      <c r="E296" s="116">
        <v>1633.5</v>
      </c>
      <c r="F296" s="116">
        <v>1351.8</v>
      </c>
      <c r="G296" s="116">
        <v>0</v>
      </c>
      <c r="H296" s="116">
        <v>967.9</v>
      </c>
      <c r="I296" s="116">
        <v>967.9</v>
      </c>
      <c r="J296" s="116">
        <v>797.6</v>
      </c>
      <c r="K296" s="116">
        <v>0</v>
      </c>
      <c r="L296" s="116">
        <v>612.6</v>
      </c>
      <c r="M296" s="116">
        <v>612.6</v>
      </c>
      <c r="N296" s="116">
        <v>523.20000000000005</v>
      </c>
      <c r="O296" s="116">
        <v>0</v>
      </c>
      <c r="P296" s="22"/>
      <c r="Q296" s="22"/>
    </row>
    <row r="297" spans="1:17" ht="12" customHeight="1" x14ac:dyDescent="0.25">
      <c r="A297" s="183"/>
      <c r="B297" s="212"/>
      <c r="C297" s="115" t="s">
        <v>254</v>
      </c>
      <c r="D297" s="116">
        <v>49.6</v>
      </c>
      <c r="E297" s="116">
        <v>49.6</v>
      </c>
      <c r="F297" s="116">
        <v>48.9</v>
      </c>
      <c r="G297" s="116">
        <v>0</v>
      </c>
      <c r="H297" s="116">
        <v>33</v>
      </c>
      <c r="I297" s="116">
        <v>33</v>
      </c>
      <c r="J297" s="116">
        <v>32.5</v>
      </c>
      <c r="K297" s="116">
        <v>0</v>
      </c>
      <c r="L297" s="116">
        <v>29.1</v>
      </c>
      <c r="M297" s="116">
        <v>29.1</v>
      </c>
      <c r="N297" s="116">
        <v>28.8</v>
      </c>
      <c r="O297" s="116">
        <v>0</v>
      </c>
      <c r="P297" s="22"/>
      <c r="Q297" s="22"/>
    </row>
    <row r="298" spans="1:17" ht="15.9" customHeight="1" x14ac:dyDescent="0.3">
      <c r="A298" s="208" t="s">
        <v>83</v>
      </c>
      <c r="B298" s="209"/>
      <c r="C298" s="210"/>
      <c r="D298" s="150">
        <v>204661.3</v>
      </c>
      <c r="E298" s="150">
        <v>154732.4</v>
      </c>
      <c r="F298" s="150">
        <v>90885.3</v>
      </c>
      <c r="G298" s="150">
        <v>49928.9</v>
      </c>
      <c r="H298" s="150">
        <f>SUBTOTAL(9,H11:H297)</f>
        <v>120977.19999999995</v>
      </c>
      <c r="I298" s="150">
        <f>SUBTOTAL(9,I11:I297)</f>
        <v>92285.800000000017</v>
      </c>
      <c r="J298" s="150">
        <f>SUBTOTAL(9,J11:J297)</f>
        <v>53623.399999999994</v>
      </c>
      <c r="K298" s="150">
        <f>SUBTOTAL(9,K11:K297)</f>
        <v>28691.400000000012</v>
      </c>
      <c r="L298" s="150">
        <v>84863.2</v>
      </c>
      <c r="M298" s="150">
        <v>70889.399999999994</v>
      </c>
      <c r="N298" s="150">
        <v>43375.200000000004</v>
      </c>
      <c r="O298" s="150">
        <v>13973.799999999992</v>
      </c>
      <c r="P298" s="164">
        <f>SUM(L298/D298*100)</f>
        <v>41.465191513979441</v>
      </c>
      <c r="Q298" s="164">
        <f>SUM(L298/H298*100)</f>
        <v>70.14809402102216</v>
      </c>
    </row>
    <row r="301" spans="1:17" x14ac:dyDescent="0.25">
      <c r="F301" s="19"/>
      <c r="G301" s="19"/>
      <c r="H301" s="19"/>
    </row>
    <row r="302" spans="1:17" x14ac:dyDescent="0.25"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</row>
  </sheetData>
  <sheetProtection selectLockedCells="1"/>
  <mergeCells count="116">
    <mergeCell ref="A82:A86"/>
    <mergeCell ref="B82:B86"/>
    <mergeCell ref="A88:A92"/>
    <mergeCell ref="B88:B92"/>
    <mergeCell ref="A94:A98"/>
    <mergeCell ref="B94:B98"/>
    <mergeCell ref="A100:A103"/>
    <mergeCell ref="B100:B103"/>
    <mergeCell ref="A105:A109"/>
    <mergeCell ref="B105:B109"/>
    <mergeCell ref="A6:A9"/>
    <mergeCell ref="B6:B9"/>
    <mergeCell ref="C6:C9"/>
    <mergeCell ref="D6:G6"/>
    <mergeCell ref="H6:K6"/>
    <mergeCell ref="L6:O6"/>
    <mergeCell ref="P1:Q1"/>
    <mergeCell ref="A76:A80"/>
    <mergeCell ref="B77:B79"/>
    <mergeCell ref="P6:Q6"/>
    <mergeCell ref="D7:D9"/>
    <mergeCell ref="E7:G7"/>
    <mergeCell ref="H7:H9"/>
    <mergeCell ref="I7:K7"/>
    <mergeCell ref="L7:L9"/>
    <mergeCell ref="M7:O7"/>
    <mergeCell ref="P7:P9"/>
    <mergeCell ref="Q7:Q9"/>
    <mergeCell ref="E8:F8"/>
    <mergeCell ref="G8:G9"/>
    <mergeCell ref="I8:J8"/>
    <mergeCell ref="K8:K9"/>
    <mergeCell ref="M8:N8"/>
    <mergeCell ref="O8:O9"/>
    <mergeCell ref="A12:A74"/>
    <mergeCell ref="B12:B19"/>
    <mergeCell ref="B20:B26"/>
    <mergeCell ref="B27:B35"/>
    <mergeCell ref="B36:B42"/>
    <mergeCell ref="B43:B51"/>
    <mergeCell ref="B52:B60"/>
    <mergeCell ref="B61:B63"/>
    <mergeCell ref="B65:B74"/>
    <mergeCell ref="A111:A115"/>
    <mergeCell ref="B111:B115"/>
    <mergeCell ref="A117:A121"/>
    <mergeCell ref="B117:B121"/>
    <mergeCell ref="A123:A127"/>
    <mergeCell ref="B123:B127"/>
    <mergeCell ref="A129:A132"/>
    <mergeCell ref="B129:B132"/>
    <mergeCell ref="A134:A138"/>
    <mergeCell ref="B134:B138"/>
    <mergeCell ref="A140:A143"/>
    <mergeCell ref="B140:B143"/>
    <mergeCell ref="A145:A149"/>
    <mergeCell ref="B145:B149"/>
    <mergeCell ref="A151:A155"/>
    <mergeCell ref="B151:B155"/>
    <mergeCell ref="A157:A161"/>
    <mergeCell ref="B157:B161"/>
    <mergeCell ref="A163:A167"/>
    <mergeCell ref="B163:B167"/>
    <mergeCell ref="A169:A171"/>
    <mergeCell ref="B169:B171"/>
    <mergeCell ref="A173:A175"/>
    <mergeCell ref="B173:B175"/>
    <mergeCell ref="A177:A179"/>
    <mergeCell ref="B177:B179"/>
    <mergeCell ref="A185:A187"/>
    <mergeCell ref="B185:B187"/>
    <mergeCell ref="A189:A192"/>
    <mergeCell ref="B189:B192"/>
    <mergeCell ref="A194:A198"/>
    <mergeCell ref="B194:B198"/>
    <mergeCell ref="A200:A203"/>
    <mergeCell ref="B200:B203"/>
    <mergeCell ref="B205:B208"/>
    <mergeCell ref="A212:A216"/>
    <mergeCell ref="B212:B216"/>
    <mergeCell ref="A218:A220"/>
    <mergeCell ref="B218:B220"/>
    <mergeCell ref="A222:A224"/>
    <mergeCell ref="B222:B224"/>
    <mergeCell ref="A226:A228"/>
    <mergeCell ref="B226:B228"/>
    <mergeCell ref="A230:A234"/>
    <mergeCell ref="B230:B232"/>
    <mergeCell ref="A236:A243"/>
    <mergeCell ref="B236:B242"/>
    <mergeCell ref="A245:A248"/>
    <mergeCell ref="B245:B248"/>
    <mergeCell ref="A298:C298"/>
    <mergeCell ref="A3:O3"/>
    <mergeCell ref="A5:L5"/>
    <mergeCell ref="P5:Q5"/>
    <mergeCell ref="A273:A276"/>
    <mergeCell ref="B274:B276"/>
    <mergeCell ref="A278:A280"/>
    <mergeCell ref="B278:B280"/>
    <mergeCell ref="A282:A285"/>
    <mergeCell ref="B282:B285"/>
    <mergeCell ref="A289:A290"/>
    <mergeCell ref="B289:B290"/>
    <mergeCell ref="A294:A297"/>
    <mergeCell ref="B294:B297"/>
    <mergeCell ref="A250:A254"/>
    <mergeCell ref="B251:B253"/>
    <mergeCell ref="A256:A257"/>
    <mergeCell ref="B256:B257"/>
    <mergeCell ref="A259:A261"/>
    <mergeCell ref="B259:B261"/>
    <mergeCell ref="A263:A265"/>
    <mergeCell ref="B263:B265"/>
    <mergeCell ref="A267:A269"/>
    <mergeCell ref="B267:B269"/>
  </mergeCells>
  <phoneticPr fontId="2" type="noConversion"/>
  <conditionalFormatting sqref="D298 H298 L298">
    <cfRule type="cellIs" dxfId="1" priority="1" stopIfTrue="1" operator="equal">
      <formula>0</formula>
    </cfRule>
  </conditionalFormatting>
  <pageMargins left="0" right="0" top="0" bottom="0" header="0" footer="0"/>
  <pageSetup paperSize="9" scale="67" fitToHeight="0" orientation="landscape" horizontalDpi="300" verticalDpi="300" r:id="rId1"/>
  <headerFooter differentFirst="1" alignWithMargins="0">
    <oddHeader>&amp;C&amp;P&amp;R4 lentelė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1"/>
  <sheetViews>
    <sheetView showZeros="0" zoomScaleNormal="100" workbookViewId="0"/>
  </sheetViews>
  <sheetFormatPr defaultColWidth="13.33203125" defaultRowHeight="15" x14ac:dyDescent="0.25"/>
  <cols>
    <col min="1" max="1" width="8.33203125" style="9" customWidth="1"/>
    <col min="2" max="2" width="22.5546875" style="9" customWidth="1"/>
    <col min="3" max="3" width="12.109375" style="9" customWidth="1"/>
    <col min="4" max="4" width="11.6640625" style="9" customWidth="1"/>
    <col min="5" max="5" width="13" style="9" customWidth="1"/>
    <col min="6" max="6" width="9.6640625" style="9" customWidth="1"/>
    <col min="7" max="7" width="11.6640625" style="9" customWidth="1"/>
    <col min="8" max="8" width="10.6640625" style="9" customWidth="1"/>
    <col min="9" max="9" width="13" style="9" customWidth="1"/>
    <col min="10" max="10" width="10.6640625" style="9" customWidth="1"/>
    <col min="11" max="11" width="10.44140625" style="9" customWidth="1"/>
    <col min="12" max="12" width="10.33203125" style="9" customWidth="1"/>
    <col min="13" max="13" width="13" style="9" customWidth="1"/>
    <col min="14" max="14" width="10" style="9" customWidth="1"/>
    <col min="15" max="15" width="8.6640625" style="9" customWidth="1"/>
    <col min="16" max="16" width="12.33203125" style="9" customWidth="1"/>
    <col min="17" max="16384" width="13.33203125" style="9"/>
  </cols>
  <sheetData>
    <row r="1" spans="1:16" x14ac:dyDescent="0.25">
      <c r="O1" s="177" t="s">
        <v>296</v>
      </c>
      <c r="P1" s="177"/>
    </row>
    <row r="2" spans="1:16" x14ac:dyDescent="0.25">
      <c r="O2" s="163"/>
      <c r="P2" s="163"/>
    </row>
    <row r="3" spans="1:16" ht="15.6" x14ac:dyDescent="0.3">
      <c r="A3" s="172" t="s">
        <v>342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6" ht="15.6" x14ac:dyDescent="0.3">
      <c r="A4" s="83"/>
      <c r="B4" s="83"/>
      <c r="C4" s="83"/>
      <c r="D4" s="83"/>
      <c r="E4" s="83"/>
      <c r="F4" s="83"/>
      <c r="G4" s="83"/>
      <c r="H4" s="83"/>
      <c r="I4" s="113"/>
      <c r="J4" s="113"/>
      <c r="K4" s="120"/>
      <c r="L4" s="120"/>
      <c r="M4" s="120"/>
      <c r="N4" s="120"/>
    </row>
    <row r="5" spans="1:16" ht="15.6" x14ac:dyDescent="0.3">
      <c r="A5" s="211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113"/>
      <c r="P5" s="10" t="s">
        <v>148</v>
      </c>
    </row>
    <row r="6" spans="1:16" ht="15" customHeight="1" x14ac:dyDescent="0.25">
      <c r="A6" s="183" t="s">
        <v>327</v>
      </c>
      <c r="B6" s="183" t="s">
        <v>328</v>
      </c>
      <c r="C6" s="183" t="s">
        <v>361</v>
      </c>
      <c r="D6" s="183"/>
      <c r="E6" s="183"/>
      <c r="F6" s="183"/>
      <c r="G6" s="183" t="s">
        <v>352</v>
      </c>
      <c r="H6" s="183"/>
      <c r="I6" s="183"/>
      <c r="J6" s="183"/>
      <c r="K6" s="183" t="s">
        <v>362</v>
      </c>
      <c r="L6" s="183"/>
      <c r="M6" s="183"/>
      <c r="N6" s="183"/>
      <c r="O6" s="213" t="s">
        <v>239</v>
      </c>
      <c r="P6" s="213"/>
    </row>
    <row r="7" spans="1:16" ht="15" customHeight="1" x14ac:dyDescent="0.25">
      <c r="A7" s="183"/>
      <c r="B7" s="183"/>
      <c r="C7" s="183" t="s">
        <v>240</v>
      </c>
      <c r="D7" s="183" t="s">
        <v>241</v>
      </c>
      <c r="E7" s="183"/>
      <c r="F7" s="183"/>
      <c r="G7" s="183" t="s">
        <v>240</v>
      </c>
      <c r="H7" s="183" t="s">
        <v>241</v>
      </c>
      <c r="I7" s="183"/>
      <c r="J7" s="183"/>
      <c r="K7" s="183" t="s">
        <v>240</v>
      </c>
      <c r="L7" s="183" t="s">
        <v>241</v>
      </c>
      <c r="M7" s="183"/>
      <c r="N7" s="183"/>
      <c r="O7" s="214" t="s">
        <v>242</v>
      </c>
      <c r="P7" s="214" t="s">
        <v>243</v>
      </c>
    </row>
    <row r="8" spans="1:16" ht="14.25" customHeight="1" x14ac:dyDescent="0.25">
      <c r="A8" s="183"/>
      <c r="B8" s="183"/>
      <c r="C8" s="183"/>
      <c r="D8" s="183" t="s">
        <v>244</v>
      </c>
      <c r="E8" s="183"/>
      <c r="F8" s="183" t="s">
        <v>245</v>
      </c>
      <c r="G8" s="183"/>
      <c r="H8" s="183" t="s">
        <v>244</v>
      </c>
      <c r="I8" s="183"/>
      <c r="J8" s="183" t="s">
        <v>245</v>
      </c>
      <c r="K8" s="183"/>
      <c r="L8" s="183" t="s">
        <v>244</v>
      </c>
      <c r="M8" s="183"/>
      <c r="N8" s="183" t="s">
        <v>245</v>
      </c>
      <c r="O8" s="214"/>
      <c r="P8" s="214"/>
    </row>
    <row r="9" spans="1:16" ht="60" customHeight="1" x14ac:dyDescent="0.25">
      <c r="A9" s="183"/>
      <c r="B9" s="183"/>
      <c r="C9" s="183"/>
      <c r="D9" s="14" t="s">
        <v>240</v>
      </c>
      <c r="E9" s="14" t="s">
        <v>246</v>
      </c>
      <c r="F9" s="183"/>
      <c r="G9" s="183"/>
      <c r="H9" s="14" t="s">
        <v>240</v>
      </c>
      <c r="I9" s="14" t="s">
        <v>246</v>
      </c>
      <c r="J9" s="183"/>
      <c r="K9" s="183"/>
      <c r="L9" s="14" t="s">
        <v>240</v>
      </c>
      <c r="M9" s="14" t="s">
        <v>246</v>
      </c>
      <c r="N9" s="183"/>
      <c r="O9" s="214"/>
      <c r="P9" s="214"/>
    </row>
    <row r="10" spans="1:16" ht="33.6" customHeight="1" x14ac:dyDescent="0.25">
      <c r="A10" s="115" t="s">
        <v>280</v>
      </c>
      <c r="B10" s="115" t="s">
        <v>281</v>
      </c>
      <c r="C10" s="116">
        <v>92739</v>
      </c>
      <c r="D10" s="116">
        <v>79967</v>
      </c>
      <c r="E10" s="116">
        <v>58247.1</v>
      </c>
      <c r="F10" s="116">
        <v>12772</v>
      </c>
      <c r="G10" s="116">
        <v>55312.2</v>
      </c>
      <c r="H10" s="116">
        <v>50102.8</v>
      </c>
      <c r="I10" s="116">
        <v>37088</v>
      </c>
      <c r="J10" s="116">
        <v>5209.3999999999996</v>
      </c>
      <c r="K10" s="116">
        <v>42234.2</v>
      </c>
      <c r="L10" s="116">
        <v>39496.9</v>
      </c>
      <c r="M10" s="116">
        <v>29726.400000000001</v>
      </c>
      <c r="N10" s="116">
        <v>2737.3</v>
      </c>
      <c r="O10" s="166">
        <f>SUM(K10/C10*100)</f>
        <v>45.540926686722948</v>
      </c>
      <c r="P10" s="166">
        <f>SUM(K10/G10*100)</f>
        <v>76.356029953608783</v>
      </c>
    </row>
    <row r="11" spans="1:16" ht="30" customHeight="1" x14ac:dyDescent="0.25">
      <c r="A11" s="115" t="s">
        <v>282</v>
      </c>
      <c r="B11" s="115" t="s">
        <v>283</v>
      </c>
      <c r="C11" s="116">
        <v>6019.4</v>
      </c>
      <c r="D11" s="116">
        <v>2094.9</v>
      </c>
      <c r="E11" s="116">
        <v>263.5</v>
      </c>
      <c r="F11" s="116">
        <v>3924.5</v>
      </c>
      <c r="G11" s="116">
        <v>3905</v>
      </c>
      <c r="H11" s="116">
        <v>1313.4</v>
      </c>
      <c r="I11" s="116">
        <v>154.1</v>
      </c>
      <c r="J11" s="116">
        <v>2591.6</v>
      </c>
      <c r="K11" s="116">
        <v>1607.8</v>
      </c>
      <c r="L11" s="116">
        <v>482.9</v>
      </c>
      <c r="M11" s="116">
        <v>127</v>
      </c>
      <c r="N11" s="116">
        <v>1124.9000000000001</v>
      </c>
      <c r="O11" s="166">
        <f t="shared" ref="O11:O19" si="0">SUM(K11/C11*100)</f>
        <v>26.710303352493604</v>
      </c>
      <c r="P11" s="166">
        <f t="shared" ref="P11:P19" si="1">SUM(K11/G11*100)</f>
        <v>41.172855313700381</v>
      </c>
    </row>
    <row r="12" spans="1:16" ht="34.950000000000003" customHeight="1" x14ac:dyDescent="0.25">
      <c r="A12" s="115" t="s">
        <v>284</v>
      </c>
      <c r="B12" s="115" t="s">
        <v>285</v>
      </c>
      <c r="C12" s="116">
        <v>7867.5</v>
      </c>
      <c r="D12" s="116">
        <v>7060.2</v>
      </c>
      <c r="E12" s="116">
        <v>1343</v>
      </c>
      <c r="F12" s="116">
        <v>807.3</v>
      </c>
      <c r="G12" s="116">
        <v>4435.5</v>
      </c>
      <c r="H12" s="116">
        <v>3688.2</v>
      </c>
      <c r="I12" s="116">
        <v>674.5</v>
      </c>
      <c r="J12" s="116">
        <v>747.3</v>
      </c>
      <c r="K12" s="116">
        <v>2960.6</v>
      </c>
      <c r="L12" s="116">
        <v>2700.2</v>
      </c>
      <c r="M12" s="116">
        <v>464.9</v>
      </c>
      <c r="N12" s="116">
        <v>260.39999999999998</v>
      </c>
      <c r="O12" s="166">
        <f t="shared" si="0"/>
        <v>37.630759453447723</v>
      </c>
      <c r="P12" s="166">
        <f t="shared" si="1"/>
        <v>66.747830007890869</v>
      </c>
    </row>
    <row r="13" spans="1:16" ht="31.2" customHeight="1" x14ac:dyDescent="0.25">
      <c r="A13" s="115" t="s">
        <v>286</v>
      </c>
      <c r="B13" s="115" t="s">
        <v>287</v>
      </c>
      <c r="C13" s="116">
        <v>6242.9</v>
      </c>
      <c r="D13" s="116">
        <v>4301.5</v>
      </c>
      <c r="E13" s="116">
        <v>1627.8</v>
      </c>
      <c r="F13" s="116">
        <v>1941.4</v>
      </c>
      <c r="G13" s="116">
        <v>2863.4</v>
      </c>
      <c r="H13" s="116">
        <v>2194.6999999999998</v>
      </c>
      <c r="I13" s="116">
        <v>794.3</v>
      </c>
      <c r="J13" s="116">
        <v>668.7</v>
      </c>
      <c r="K13" s="116">
        <v>1761.9</v>
      </c>
      <c r="L13" s="116">
        <v>1319</v>
      </c>
      <c r="M13" s="116">
        <v>719</v>
      </c>
      <c r="N13" s="116">
        <v>442.9</v>
      </c>
      <c r="O13" s="166">
        <f t="shared" si="0"/>
        <v>28.222460715372666</v>
      </c>
      <c r="P13" s="166">
        <f t="shared" si="1"/>
        <v>61.531745477404485</v>
      </c>
    </row>
    <row r="14" spans="1:16" ht="31.2" customHeight="1" x14ac:dyDescent="0.25">
      <c r="A14" s="115" t="s">
        <v>288</v>
      </c>
      <c r="B14" s="115" t="s">
        <v>289</v>
      </c>
      <c r="C14" s="116">
        <v>21960</v>
      </c>
      <c r="D14" s="116">
        <v>20377.8</v>
      </c>
      <c r="E14" s="116">
        <v>7716.8</v>
      </c>
      <c r="F14" s="116">
        <v>1582.2</v>
      </c>
      <c r="G14" s="116">
        <v>12355</v>
      </c>
      <c r="H14" s="116">
        <v>11870</v>
      </c>
      <c r="I14" s="116">
        <v>3925.4</v>
      </c>
      <c r="J14" s="116">
        <v>485</v>
      </c>
      <c r="K14" s="116">
        <v>10015.299999999999</v>
      </c>
      <c r="L14" s="116">
        <v>9976.1</v>
      </c>
      <c r="M14" s="116">
        <v>3397.1</v>
      </c>
      <c r="N14" s="116">
        <v>39.200000000000003</v>
      </c>
      <c r="O14" s="166">
        <f t="shared" si="0"/>
        <v>45.607012750455375</v>
      </c>
      <c r="P14" s="166">
        <f t="shared" si="1"/>
        <v>81.062727640631323</v>
      </c>
    </row>
    <row r="15" spans="1:16" ht="59.4" customHeight="1" x14ac:dyDescent="0.25">
      <c r="A15" s="115" t="s">
        <v>290</v>
      </c>
      <c r="B15" s="115" t="s">
        <v>291</v>
      </c>
      <c r="C15" s="116">
        <v>24576.7</v>
      </c>
      <c r="D15" s="116">
        <v>7565</v>
      </c>
      <c r="E15" s="116">
        <v>0</v>
      </c>
      <c r="F15" s="116">
        <v>17011.7</v>
      </c>
      <c r="G15" s="116">
        <v>15680.1</v>
      </c>
      <c r="H15" s="116">
        <v>5172.3</v>
      </c>
      <c r="I15" s="116">
        <v>0</v>
      </c>
      <c r="J15" s="116">
        <v>10507.8</v>
      </c>
      <c r="K15" s="116">
        <v>7671.3</v>
      </c>
      <c r="L15" s="116">
        <v>3700.8</v>
      </c>
      <c r="M15" s="116">
        <v>0</v>
      </c>
      <c r="N15" s="116">
        <v>3970.5</v>
      </c>
      <c r="O15" s="166">
        <f t="shared" si="0"/>
        <v>31.213710546981488</v>
      </c>
      <c r="P15" s="166">
        <f t="shared" si="1"/>
        <v>48.923795128857591</v>
      </c>
    </row>
    <row r="16" spans="1:16" ht="60.6" customHeight="1" x14ac:dyDescent="0.25">
      <c r="A16" s="115" t="s">
        <v>292</v>
      </c>
      <c r="B16" s="115" t="s">
        <v>297</v>
      </c>
      <c r="C16" s="116">
        <v>10154.5</v>
      </c>
      <c r="D16" s="116">
        <v>8336.1</v>
      </c>
      <c r="E16" s="116">
        <v>5222.8</v>
      </c>
      <c r="F16" s="116">
        <v>1818.4</v>
      </c>
      <c r="G16" s="116">
        <v>5620.5</v>
      </c>
      <c r="H16" s="116">
        <v>4653</v>
      </c>
      <c r="I16" s="116">
        <v>2699.3</v>
      </c>
      <c r="J16" s="116">
        <v>967.5</v>
      </c>
      <c r="K16" s="116">
        <v>3817.4</v>
      </c>
      <c r="L16" s="116">
        <v>3639.1</v>
      </c>
      <c r="M16" s="116">
        <v>2483.8000000000002</v>
      </c>
      <c r="N16" s="116">
        <v>178.3</v>
      </c>
      <c r="O16" s="166">
        <f t="shared" si="0"/>
        <v>37.593185287311044</v>
      </c>
      <c r="P16" s="166">
        <f t="shared" si="1"/>
        <v>67.919224268303537</v>
      </c>
    </row>
    <row r="17" spans="1:16" ht="34.950000000000003" customHeight="1" x14ac:dyDescent="0.25">
      <c r="A17" s="115" t="s">
        <v>293</v>
      </c>
      <c r="B17" s="115" t="s">
        <v>294</v>
      </c>
      <c r="C17" s="116">
        <v>7679.7</v>
      </c>
      <c r="D17" s="116">
        <v>5592.8</v>
      </c>
      <c r="E17" s="116">
        <v>2534</v>
      </c>
      <c r="F17" s="116">
        <v>2086.9</v>
      </c>
      <c r="G17" s="116">
        <v>5420.9</v>
      </c>
      <c r="H17" s="116">
        <v>3334</v>
      </c>
      <c r="I17" s="116">
        <v>1309.2</v>
      </c>
      <c r="J17" s="116">
        <v>2086.9</v>
      </c>
      <c r="K17" s="116">
        <v>4243.8</v>
      </c>
      <c r="L17" s="116">
        <v>2449.6</v>
      </c>
      <c r="M17" s="116">
        <v>1000.6</v>
      </c>
      <c r="N17" s="116">
        <v>1794.2</v>
      </c>
      <c r="O17" s="166">
        <f t="shared" si="0"/>
        <v>55.259971092620809</v>
      </c>
      <c r="P17" s="166">
        <f t="shared" si="1"/>
        <v>78.28589348632147</v>
      </c>
    </row>
    <row r="18" spans="1:16" ht="50.4" customHeight="1" x14ac:dyDescent="0.25">
      <c r="A18" s="115" t="s">
        <v>295</v>
      </c>
      <c r="B18" s="115" t="s">
        <v>298</v>
      </c>
      <c r="C18" s="116">
        <v>27421.599999999999</v>
      </c>
      <c r="D18" s="116">
        <v>19437.099999999999</v>
      </c>
      <c r="E18" s="116">
        <v>13930.3</v>
      </c>
      <c r="F18" s="116">
        <v>7984.5</v>
      </c>
      <c r="G18" s="116">
        <v>15384.6</v>
      </c>
      <c r="H18" s="116">
        <v>9957.4</v>
      </c>
      <c r="I18" s="116">
        <v>6978.6</v>
      </c>
      <c r="J18" s="116">
        <v>5427.2</v>
      </c>
      <c r="K18" s="116">
        <v>10550.9</v>
      </c>
      <c r="L18" s="116">
        <v>7124.8</v>
      </c>
      <c r="M18" s="116">
        <v>5456.4</v>
      </c>
      <c r="N18" s="116">
        <v>3426.1</v>
      </c>
      <c r="O18" s="166">
        <f t="shared" si="0"/>
        <v>38.476602386439893</v>
      </c>
      <c r="P18" s="166">
        <f t="shared" si="1"/>
        <v>68.580918580918578</v>
      </c>
    </row>
    <row r="19" spans="1:16" ht="18" customHeight="1" x14ac:dyDescent="0.3">
      <c r="A19" s="22"/>
      <c r="B19" s="149" t="s">
        <v>83</v>
      </c>
      <c r="C19" s="150">
        <v>204661.3</v>
      </c>
      <c r="D19" s="150">
        <v>154732.4</v>
      </c>
      <c r="E19" s="150">
        <v>90885.3</v>
      </c>
      <c r="F19" s="150">
        <v>49928.9</v>
      </c>
      <c r="G19" s="150">
        <f t="shared" ref="G19:N19" si="2">SUBTOTAL(9,G10:G18)</f>
        <v>120977.2</v>
      </c>
      <c r="H19" s="150">
        <f t="shared" si="2"/>
        <v>92285.8</v>
      </c>
      <c r="I19" s="150">
        <f t="shared" si="2"/>
        <v>53623.4</v>
      </c>
      <c r="J19" s="150">
        <f t="shared" si="2"/>
        <v>28691.4</v>
      </c>
      <c r="K19" s="150">
        <f>SUBTOTAL(9,K10:K18)</f>
        <v>84863.2</v>
      </c>
      <c r="L19" s="150">
        <f t="shared" si="2"/>
        <v>70889.399999999994</v>
      </c>
      <c r="M19" s="150">
        <f t="shared" si="2"/>
        <v>43375.200000000004</v>
      </c>
      <c r="N19" s="150">
        <f t="shared" si="2"/>
        <v>13973.800000000001</v>
      </c>
      <c r="O19" s="165">
        <f t="shared" si="0"/>
        <v>41.465191513979441</v>
      </c>
      <c r="P19" s="165">
        <f t="shared" si="1"/>
        <v>70.148094021022146</v>
      </c>
    </row>
    <row r="20" spans="1:16" x14ac:dyDescent="0.25"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</row>
    <row r="21" spans="1:16" x14ac:dyDescent="0.25">
      <c r="G21" s="19"/>
      <c r="H21" s="19"/>
      <c r="I21" s="19"/>
    </row>
  </sheetData>
  <sheetProtection selectLockedCells="1"/>
  <mergeCells count="23">
    <mergeCell ref="O1:P1"/>
    <mergeCell ref="L8:M8"/>
    <mergeCell ref="N8:N9"/>
    <mergeCell ref="O6:P6"/>
    <mergeCell ref="C7:C9"/>
    <mergeCell ref="D7:F7"/>
    <mergeCell ref="G7:G9"/>
    <mergeCell ref="H7:J7"/>
    <mergeCell ref="K7:K9"/>
    <mergeCell ref="L7:N7"/>
    <mergeCell ref="O7:O9"/>
    <mergeCell ref="P7:P9"/>
    <mergeCell ref="D8:E8"/>
    <mergeCell ref="A3:O3"/>
    <mergeCell ref="A5:L5"/>
    <mergeCell ref="A6:A9"/>
    <mergeCell ref="B6:B9"/>
    <mergeCell ref="C6:F6"/>
    <mergeCell ref="G6:J6"/>
    <mergeCell ref="K6:N6"/>
    <mergeCell ref="F8:F9"/>
    <mergeCell ref="H8:I8"/>
    <mergeCell ref="J8:J9"/>
  </mergeCells>
  <conditionalFormatting sqref="C19 G19 K19">
    <cfRule type="cellIs" dxfId="0" priority="1" stopIfTrue="1" operator="equal">
      <formula>0</formula>
    </cfRule>
  </conditionalFormatting>
  <printOptions horizontalCentered="1"/>
  <pageMargins left="0" right="0" top="0" bottom="0" header="0" footer="0"/>
  <pageSetup paperSize="9" scale="78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3"/>
  <sheetViews>
    <sheetView tabSelected="1" zoomScaleNormal="100" workbookViewId="0"/>
  </sheetViews>
  <sheetFormatPr defaultRowHeight="13.2" x14ac:dyDescent="0.25"/>
  <cols>
    <col min="1" max="1" width="5.6640625" customWidth="1"/>
    <col min="2" max="2" width="32.44140625" customWidth="1"/>
    <col min="3" max="3" width="9.5546875" bestFit="1" customWidth="1"/>
    <col min="4" max="4" width="11.88671875" customWidth="1"/>
    <col min="5" max="5" width="10.33203125" customWidth="1"/>
    <col min="6" max="6" width="11.44140625" customWidth="1"/>
    <col min="7" max="7" width="11.6640625" customWidth="1"/>
    <col min="8" max="8" width="11.88671875" customWidth="1"/>
    <col min="9" max="9" width="11.33203125" customWidth="1"/>
    <col min="10" max="10" width="11.44140625" customWidth="1"/>
    <col min="12" max="12" width="9.5546875" bestFit="1" customWidth="1"/>
  </cols>
  <sheetData>
    <row r="1" spans="1:13" ht="15" x14ac:dyDescent="0.25">
      <c r="B1" s="9"/>
      <c r="C1" s="9"/>
      <c r="D1" s="9"/>
      <c r="E1" s="9"/>
      <c r="F1" s="9"/>
      <c r="G1" s="9"/>
      <c r="H1" s="9"/>
      <c r="I1" s="9"/>
      <c r="J1" s="10" t="s">
        <v>156</v>
      </c>
    </row>
    <row r="2" spans="1:13" ht="15" x14ac:dyDescent="0.25">
      <c r="B2" s="9"/>
      <c r="C2" s="9"/>
      <c r="D2" s="9"/>
      <c r="E2" s="9"/>
      <c r="F2" s="9"/>
      <c r="G2" s="9"/>
      <c r="H2" s="9"/>
      <c r="I2" s="9"/>
      <c r="J2" s="9"/>
    </row>
    <row r="3" spans="1:13" ht="15.6" x14ac:dyDescent="0.3">
      <c r="A3" s="215" t="s">
        <v>343</v>
      </c>
      <c r="B3" s="215"/>
      <c r="C3" s="215"/>
      <c r="D3" s="215"/>
      <c r="E3" s="215"/>
      <c r="F3" s="215"/>
      <c r="G3" s="215"/>
      <c r="H3" s="215"/>
      <c r="I3" s="215"/>
      <c r="J3" s="215"/>
      <c r="K3" s="4"/>
      <c r="L3" s="4"/>
      <c r="M3" s="4"/>
    </row>
    <row r="4" spans="1:13" ht="15.6" x14ac:dyDescent="0.3">
      <c r="B4" s="11"/>
      <c r="C4" s="11"/>
      <c r="D4" s="11"/>
      <c r="E4" s="11"/>
      <c r="F4" s="11"/>
      <c r="G4" s="11"/>
      <c r="H4" s="11"/>
      <c r="I4" s="11"/>
      <c r="J4" s="11"/>
      <c r="K4" s="5"/>
      <c r="L4" s="5"/>
      <c r="M4" s="5"/>
    </row>
    <row r="5" spans="1:13" ht="15" x14ac:dyDescent="0.25">
      <c r="B5" s="9"/>
      <c r="C5" s="9"/>
      <c r="D5" s="9"/>
      <c r="E5" s="9"/>
      <c r="F5" s="9"/>
      <c r="G5" s="9"/>
      <c r="H5" s="9"/>
      <c r="I5" s="9"/>
      <c r="J5" s="10" t="s">
        <v>148</v>
      </c>
    </row>
    <row r="6" spans="1:13" ht="27.75" customHeight="1" x14ac:dyDescent="0.25">
      <c r="A6" s="173" t="s">
        <v>210</v>
      </c>
      <c r="B6" s="173" t="s">
        <v>98</v>
      </c>
      <c r="C6" s="173" t="s">
        <v>214</v>
      </c>
      <c r="D6" s="173" t="s">
        <v>112</v>
      </c>
      <c r="E6" s="173" t="s">
        <v>236</v>
      </c>
      <c r="F6" s="173" t="s">
        <v>112</v>
      </c>
      <c r="G6" s="173" t="s">
        <v>335</v>
      </c>
      <c r="H6" s="173" t="s">
        <v>112</v>
      </c>
      <c r="I6" s="181" t="s">
        <v>336</v>
      </c>
      <c r="J6" s="184"/>
      <c r="K6" s="5"/>
      <c r="L6" s="5"/>
    </row>
    <row r="7" spans="1:13" ht="21.75" customHeight="1" x14ac:dyDescent="0.25">
      <c r="A7" s="174"/>
      <c r="B7" s="174"/>
      <c r="C7" s="174"/>
      <c r="D7" s="174"/>
      <c r="E7" s="174"/>
      <c r="F7" s="174"/>
      <c r="G7" s="174"/>
      <c r="H7" s="174"/>
      <c r="I7" s="14" t="s">
        <v>215</v>
      </c>
      <c r="J7" s="69" t="s">
        <v>162</v>
      </c>
      <c r="K7" s="5"/>
      <c r="L7" s="5"/>
    </row>
    <row r="8" spans="1:13" ht="15" x14ac:dyDescent="0.25">
      <c r="A8" s="20">
        <v>1</v>
      </c>
      <c r="B8" s="15" t="s">
        <v>103</v>
      </c>
      <c r="C8" s="31">
        <v>4437.2</v>
      </c>
      <c r="D8" s="31">
        <f>SUM(C8/C21*100)</f>
        <v>6.4900664188939157</v>
      </c>
      <c r="E8" s="31">
        <v>4689.7</v>
      </c>
      <c r="F8" s="31">
        <f>SUM(E8/E21*100)</f>
        <v>6.3593291495582074</v>
      </c>
      <c r="G8" s="31">
        <v>6740.8</v>
      </c>
      <c r="H8" s="31">
        <f>SUM(G8/G21*100)</f>
        <v>7.9431367188604716</v>
      </c>
      <c r="I8" s="31">
        <f>SUM(G8-E8)</f>
        <v>2051.1000000000004</v>
      </c>
      <c r="J8" s="70">
        <f t="shared" ref="J8:J17" si="0">SUM(G8/E8*100)</f>
        <v>143.7362731091541</v>
      </c>
      <c r="L8" s="6"/>
    </row>
    <row r="9" spans="1:13" ht="15" x14ac:dyDescent="0.25">
      <c r="A9" s="20">
        <v>2</v>
      </c>
      <c r="B9" s="15" t="s">
        <v>104</v>
      </c>
      <c r="C9" s="31">
        <v>60.5</v>
      </c>
      <c r="D9" s="31">
        <f>SUM(C9/C21*100)</f>
        <v>8.8490268264464489E-2</v>
      </c>
      <c r="E9" s="31">
        <v>287.3</v>
      </c>
      <c r="F9" s="31">
        <f>SUM(E9/E21*100)</f>
        <v>0.38958467805362246</v>
      </c>
      <c r="G9" s="31">
        <v>107.7</v>
      </c>
      <c r="H9" s="31">
        <f>SUM(G9/G21*100)</f>
        <v>0.12691013301407442</v>
      </c>
      <c r="I9" s="31">
        <f t="shared" ref="I9:I17" si="1">SUM(G9-E9)</f>
        <v>-179.60000000000002</v>
      </c>
      <c r="J9" s="70">
        <f t="shared" si="0"/>
        <v>37.486947441698568</v>
      </c>
      <c r="L9" s="6"/>
    </row>
    <row r="10" spans="1:13" ht="30" x14ac:dyDescent="0.25">
      <c r="A10" s="20">
        <v>3</v>
      </c>
      <c r="B10" s="16" t="s">
        <v>228</v>
      </c>
      <c r="C10" s="22">
        <v>591.4</v>
      </c>
      <c r="D10" s="31">
        <f>SUM(C10/C21*100)</f>
        <v>0.86501065539841826</v>
      </c>
      <c r="E10" s="22">
        <v>653.5</v>
      </c>
      <c r="F10" s="31">
        <f>SUM(E10/E21*100)</f>
        <v>0.88615937037258008</v>
      </c>
      <c r="G10" s="22">
        <v>676</v>
      </c>
      <c r="H10" s="31">
        <f>SUM(G10/G21*100)</f>
        <v>0.79657613665287186</v>
      </c>
      <c r="I10" s="31">
        <f t="shared" si="1"/>
        <v>22.5</v>
      </c>
      <c r="J10" s="70">
        <f t="shared" si="0"/>
        <v>103.44299923488907</v>
      </c>
      <c r="L10" s="6"/>
    </row>
    <row r="11" spans="1:13" ht="15" x14ac:dyDescent="0.25">
      <c r="A11" s="20">
        <v>4</v>
      </c>
      <c r="B11" s="71" t="s">
        <v>106</v>
      </c>
      <c r="C11" s="39">
        <v>7087.2</v>
      </c>
      <c r="D11" s="31">
        <f>SUM(C11/C21*100)</f>
        <v>10.366086433783682</v>
      </c>
      <c r="E11" s="39">
        <v>7756.4</v>
      </c>
      <c r="F11" s="31">
        <f>SUM(E11/E21*100)</f>
        <v>10.517837093126058</v>
      </c>
      <c r="G11" s="39">
        <v>7581.2</v>
      </c>
      <c r="H11" s="31">
        <f>SUM(G11/G21*100)</f>
        <v>8.9334364011727097</v>
      </c>
      <c r="I11" s="31">
        <f t="shared" si="1"/>
        <v>-175.19999999999982</v>
      </c>
      <c r="J11" s="70">
        <f t="shared" si="0"/>
        <v>97.741220153679535</v>
      </c>
      <c r="L11" s="6"/>
    </row>
    <row r="12" spans="1:13" ht="15" x14ac:dyDescent="0.25">
      <c r="A12" s="20">
        <v>5</v>
      </c>
      <c r="B12" s="72" t="s">
        <v>107</v>
      </c>
      <c r="C12" s="73">
        <v>3301.4</v>
      </c>
      <c r="D12" s="31">
        <f>SUM(C12/C21*100)</f>
        <v>4.8287896140215381</v>
      </c>
      <c r="E12" s="73">
        <v>3111.7</v>
      </c>
      <c r="F12" s="31">
        <f>SUM(E12/E21*100)</f>
        <v>4.2195288642515028</v>
      </c>
      <c r="G12" s="73">
        <v>3165.8</v>
      </c>
      <c r="H12" s="31">
        <f>SUM(G12/G21*100)</f>
        <v>3.7304744577154763</v>
      </c>
      <c r="I12" s="31">
        <f t="shared" si="1"/>
        <v>54.100000000000364</v>
      </c>
      <c r="J12" s="70">
        <f t="shared" si="0"/>
        <v>101.73859947938426</v>
      </c>
      <c r="L12" s="6"/>
    </row>
    <row r="13" spans="1:13" ht="15" x14ac:dyDescent="0.25">
      <c r="A13" s="20">
        <v>6</v>
      </c>
      <c r="B13" s="15" t="s">
        <v>108</v>
      </c>
      <c r="C13" s="22">
        <v>771</v>
      </c>
      <c r="D13" s="31">
        <f>SUM(C13/C21*100)</f>
        <v>1.1277024269735889</v>
      </c>
      <c r="E13" s="22">
        <v>356.9</v>
      </c>
      <c r="F13" s="31">
        <f>SUM(E13/E21*100)</f>
        <v>0.48396370204433631</v>
      </c>
      <c r="G13" s="22">
        <v>1117.2</v>
      </c>
      <c r="H13" s="31">
        <f>SUM(G13/G21*100)</f>
        <v>1.316471686196137</v>
      </c>
      <c r="I13" s="31">
        <f t="shared" si="1"/>
        <v>760.30000000000007</v>
      </c>
      <c r="J13" s="70">
        <f t="shared" si="0"/>
        <v>313.02885962454474</v>
      </c>
      <c r="L13" s="6"/>
    </row>
    <row r="14" spans="1:13" ht="15" x14ac:dyDescent="0.25">
      <c r="A14" s="20">
        <v>7</v>
      </c>
      <c r="B14" s="74" t="s">
        <v>229</v>
      </c>
      <c r="C14" s="22">
        <v>747.1</v>
      </c>
      <c r="D14" s="31">
        <f>SUM(C14/C21*100)</f>
        <v>1.0927451143864699</v>
      </c>
      <c r="E14" s="22">
        <v>853.1</v>
      </c>
      <c r="F14" s="31">
        <f>SUM(E14/E21*100)</f>
        <v>1.1568210541160644</v>
      </c>
      <c r="G14" s="22">
        <v>1805.3</v>
      </c>
      <c r="H14" s="31">
        <f>SUM(G14/G21*100)</f>
        <v>2.1273060643482689</v>
      </c>
      <c r="I14" s="31">
        <f t="shared" si="1"/>
        <v>952.19999999999993</v>
      </c>
      <c r="J14" s="70">
        <f t="shared" si="0"/>
        <v>211.61645762513186</v>
      </c>
      <c r="L14" s="6"/>
    </row>
    <row r="15" spans="1:13" ht="15" x14ac:dyDescent="0.25">
      <c r="A15" s="20">
        <v>8</v>
      </c>
      <c r="B15" s="23" t="s">
        <v>109</v>
      </c>
      <c r="C15" s="22">
        <v>9969.4</v>
      </c>
      <c r="D15" s="31">
        <f>SUM(C15/C21*100)</f>
        <v>14.581733560921526</v>
      </c>
      <c r="E15" s="31">
        <v>14622.6</v>
      </c>
      <c r="F15" s="31">
        <f>SUM(E15/E21*100)</f>
        <v>19.828544773083536</v>
      </c>
      <c r="G15" s="22">
        <v>8216.7000000000007</v>
      </c>
      <c r="H15" s="31">
        <f>SUM(G15/G21*100)</f>
        <v>9.682288671650376</v>
      </c>
      <c r="I15" s="31">
        <f t="shared" si="1"/>
        <v>-6405.9</v>
      </c>
      <c r="J15" s="70">
        <f t="shared" si="0"/>
        <v>56.191785318616397</v>
      </c>
      <c r="L15" s="6"/>
    </row>
    <row r="16" spans="1:13" ht="15" x14ac:dyDescent="0.25">
      <c r="A16" s="20">
        <v>9</v>
      </c>
      <c r="B16" s="74" t="s">
        <v>110</v>
      </c>
      <c r="C16" s="39">
        <v>31974.799999999999</v>
      </c>
      <c r="D16" s="31">
        <f>SUM(C16/C21*100)</f>
        <v>46.767911234753704</v>
      </c>
      <c r="E16" s="39">
        <v>31823.3</v>
      </c>
      <c r="F16" s="31">
        <f>SUM(E16/E21*100)</f>
        <v>43.153045893156431</v>
      </c>
      <c r="G16" s="39">
        <v>42707.6</v>
      </c>
      <c r="H16" s="31">
        <f>SUM(G16/G21*100)</f>
        <v>50.325229310231059</v>
      </c>
      <c r="I16" s="31">
        <f t="shared" si="1"/>
        <v>10884.3</v>
      </c>
      <c r="J16" s="70">
        <f t="shared" si="0"/>
        <v>134.20229831601372</v>
      </c>
      <c r="L16" s="6"/>
    </row>
    <row r="17" spans="1:12" ht="15" x14ac:dyDescent="0.25">
      <c r="A17" s="20">
        <v>10</v>
      </c>
      <c r="B17" s="75" t="s">
        <v>111</v>
      </c>
      <c r="C17" s="22">
        <v>8610.5</v>
      </c>
      <c r="D17" s="31">
        <f>SUM(C17/C21*100)</f>
        <v>12.594139750267297</v>
      </c>
      <c r="E17" s="22">
        <v>8662.1</v>
      </c>
      <c r="F17" s="31">
        <f>SUM(E17/E21*100)</f>
        <v>11.745984823419015</v>
      </c>
      <c r="G17" s="22">
        <v>10121.1</v>
      </c>
      <c r="H17" s="31">
        <f>SUM(G17/G21*100)</f>
        <v>11.92637091224465</v>
      </c>
      <c r="I17" s="31">
        <f t="shared" si="1"/>
        <v>1459</v>
      </c>
      <c r="J17" s="70">
        <f t="shared" si="0"/>
        <v>116.84349060851295</v>
      </c>
      <c r="L17" s="6"/>
    </row>
    <row r="18" spans="1:12" ht="15" x14ac:dyDescent="0.25">
      <c r="A18" s="1"/>
      <c r="B18" s="22" t="s">
        <v>83</v>
      </c>
      <c r="C18" s="31">
        <f>SUM(C8:C17)</f>
        <v>67550.5</v>
      </c>
      <c r="D18" s="31">
        <f>SUM(C18/C21*100)</f>
        <v>98.802675477664621</v>
      </c>
      <c r="E18" s="31">
        <f>SUM(E8:E17)</f>
        <v>72816.600000000006</v>
      </c>
      <c r="F18" s="31">
        <f>SUM(E18/E21*100)</f>
        <v>98.740799401181363</v>
      </c>
      <c r="G18" s="31">
        <f>SUM(G8:G17)</f>
        <v>82239.400000000009</v>
      </c>
      <c r="H18" s="31">
        <f>SUM(G18/G21*100)</f>
        <v>96.90820049208611</v>
      </c>
      <c r="I18" s="31">
        <f>SUM(G18-E18)</f>
        <v>9422.8000000000029</v>
      </c>
      <c r="J18" s="70">
        <f t="shared" ref="J18:J19" si="2">SUM(G18/E18*100)</f>
        <v>112.94045588505919</v>
      </c>
      <c r="K18" s="7"/>
      <c r="L18" s="7"/>
    </row>
    <row r="19" spans="1:12" ht="15" x14ac:dyDescent="0.25">
      <c r="A19" s="22"/>
      <c r="B19" s="22" t="s">
        <v>176</v>
      </c>
      <c r="C19" s="22"/>
      <c r="D19" s="31"/>
      <c r="E19" s="22"/>
      <c r="F19" s="31"/>
      <c r="G19" s="22">
        <v>1544.9</v>
      </c>
      <c r="H19" s="31">
        <f>SUM(G19/G21*100)</f>
        <v>1.8204592803476656</v>
      </c>
      <c r="I19" s="31">
        <f>SUM(G19-E19)</f>
        <v>1544.9</v>
      </c>
      <c r="J19" s="70"/>
    </row>
    <row r="20" spans="1:12" ht="15" x14ac:dyDescent="0.25">
      <c r="A20" s="22"/>
      <c r="B20" s="22" t="s">
        <v>364</v>
      </c>
      <c r="C20" s="22">
        <v>818.6</v>
      </c>
      <c r="D20" s="31">
        <f>SUM(C20/C21*100)</f>
        <v>1.1973245223353823</v>
      </c>
      <c r="E20" s="22">
        <v>928.6</v>
      </c>
      <c r="F20" s="31">
        <f>SUM(E20/E21*100)</f>
        <v>1.2592005988186348</v>
      </c>
      <c r="G20" s="22">
        <v>1078.9000000000001</v>
      </c>
      <c r="H20" s="31">
        <f>SUM(G20/G21*100)</f>
        <v>1.271340227566248</v>
      </c>
      <c r="I20" s="31">
        <f t="shared" ref="I20" si="3">SUM(G20-E20)</f>
        <v>150.30000000000007</v>
      </c>
      <c r="J20" s="70">
        <f t="shared" ref="J20:J21" si="4">SUM(G20/E20*100)</f>
        <v>116.18565582597459</v>
      </c>
    </row>
    <row r="21" spans="1:12" ht="15.6" x14ac:dyDescent="0.3">
      <c r="A21" s="22"/>
      <c r="B21" s="87" t="s">
        <v>99</v>
      </c>
      <c r="C21" s="48">
        <f>SUM(C18+C19+C20)</f>
        <v>68369.100000000006</v>
      </c>
      <c r="D21" s="48">
        <f>SUM(C21/C21*100)</f>
        <v>100</v>
      </c>
      <c r="E21" s="48">
        <f>SUM(E18+E19+E20)</f>
        <v>73745.200000000012</v>
      </c>
      <c r="F21" s="48">
        <f>SUM(E21/E21*100)</f>
        <v>100</v>
      </c>
      <c r="G21" s="48">
        <f>SUM(G18+G19+G20)</f>
        <v>84863.2</v>
      </c>
      <c r="H21" s="48">
        <f>SUM(G21/G21*100)</f>
        <v>100</v>
      </c>
      <c r="I21" s="48">
        <f>SUM(G21-E21)</f>
        <v>11117.999999999985</v>
      </c>
      <c r="J21" s="77">
        <f t="shared" si="4"/>
        <v>115.07623547024075</v>
      </c>
    </row>
    <row r="23" spans="1:12" x14ac:dyDescent="0.25">
      <c r="D23" s="2"/>
      <c r="E23" s="2"/>
    </row>
  </sheetData>
  <mergeCells count="10">
    <mergeCell ref="H6:H7"/>
    <mergeCell ref="I6:J6"/>
    <mergeCell ref="F6:F7"/>
    <mergeCell ref="G6:G7"/>
    <mergeCell ref="A3:J3"/>
    <mergeCell ref="A6:A7"/>
    <mergeCell ref="B6:B7"/>
    <mergeCell ref="C6:C7"/>
    <mergeCell ref="D6:D7"/>
    <mergeCell ref="E6:E7"/>
  </mergeCells>
  <phoneticPr fontId="2" type="noConversion"/>
  <printOptions horizontalCentered="1"/>
  <pageMargins left="1.1023622047244095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zoomScaleNormal="100" workbookViewId="0"/>
  </sheetViews>
  <sheetFormatPr defaultRowHeight="13.2" x14ac:dyDescent="0.25"/>
  <cols>
    <col min="1" max="1" width="5.5546875" customWidth="1"/>
    <col min="2" max="2" width="39.109375" customWidth="1"/>
    <col min="3" max="4" width="15.33203125" customWidth="1"/>
    <col min="5" max="5" width="11.44140625" customWidth="1"/>
    <col min="6" max="6" width="11.33203125" customWidth="1"/>
    <col min="7" max="7" width="10.5546875" customWidth="1"/>
    <col min="8" max="8" width="11.33203125" customWidth="1"/>
  </cols>
  <sheetData>
    <row r="1" spans="1:8" ht="15.6" x14ac:dyDescent="0.3">
      <c r="A1" s="9"/>
      <c r="B1" s="11"/>
      <c r="C1" s="11"/>
      <c r="D1" s="9"/>
      <c r="E1" s="9"/>
      <c r="F1" s="9"/>
      <c r="G1" s="10" t="s">
        <v>150</v>
      </c>
    </row>
    <row r="2" spans="1:8" ht="15.6" x14ac:dyDescent="0.3">
      <c r="A2" s="9"/>
      <c r="B2" s="11"/>
      <c r="C2" s="11"/>
      <c r="D2" s="9"/>
      <c r="E2" s="9"/>
      <c r="F2" s="9"/>
      <c r="G2" s="10"/>
    </row>
    <row r="3" spans="1:8" ht="18" customHeight="1" x14ac:dyDescent="0.3">
      <c r="A3" s="172" t="s">
        <v>358</v>
      </c>
      <c r="B3" s="172"/>
      <c r="C3" s="172"/>
      <c r="D3" s="172"/>
      <c r="E3" s="172"/>
      <c r="F3" s="172"/>
      <c r="G3" s="172"/>
    </row>
    <row r="4" spans="1:8" ht="15.6" x14ac:dyDescent="0.3">
      <c r="A4" s="9"/>
      <c r="B4" s="113"/>
      <c r="C4" s="113"/>
      <c r="D4" s="9"/>
      <c r="E4" s="9"/>
      <c r="F4" s="9"/>
      <c r="G4" s="9"/>
    </row>
    <row r="5" spans="1:8" ht="15" x14ac:dyDescent="0.25">
      <c r="A5" s="9"/>
      <c r="B5" s="9"/>
      <c r="C5" s="9"/>
      <c r="D5" s="9"/>
      <c r="E5" s="9"/>
      <c r="F5" s="9"/>
      <c r="G5" s="10" t="s">
        <v>148</v>
      </c>
    </row>
    <row r="6" spans="1:8" ht="32.4" customHeight="1" x14ac:dyDescent="0.25">
      <c r="A6" s="173" t="s">
        <v>210</v>
      </c>
      <c r="B6" s="173" t="s">
        <v>98</v>
      </c>
      <c r="C6" s="175" t="s">
        <v>149</v>
      </c>
      <c r="D6" s="173" t="s">
        <v>348</v>
      </c>
      <c r="E6" s="175" t="s">
        <v>13</v>
      </c>
      <c r="F6" s="170" t="s">
        <v>347</v>
      </c>
      <c r="G6" s="171"/>
    </row>
    <row r="7" spans="1:8" ht="17.399999999999999" customHeight="1" x14ac:dyDescent="0.25">
      <c r="A7" s="174"/>
      <c r="B7" s="174"/>
      <c r="C7" s="176"/>
      <c r="D7" s="174"/>
      <c r="E7" s="176"/>
      <c r="F7" s="12" t="s">
        <v>161</v>
      </c>
      <c r="G7" s="14" t="s">
        <v>162</v>
      </c>
    </row>
    <row r="8" spans="1:8" ht="15" x14ac:dyDescent="0.25">
      <c r="A8" s="20">
        <v>1</v>
      </c>
      <c r="B8" s="22" t="s">
        <v>230</v>
      </c>
      <c r="C8" s="78">
        <v>17865.900000000001</v>
      </c>
      <c r="D8" s="39">
        <v>10395.700000000001</v>
      </c>
      <c r="E8" s="39">
        <v>6740.8</v>
      </c>
      <c r="F8" s="37">
        <f>SUM(E8-D8)</f>
        <v>-3654.9000000000005</v>
      </c>
      <c r="G8" s="37">
        <f>SUM(E8/D8*100)</f>
        <v>64.842194368825574</v>
      </c>
      <c r="H8" s="8"/>
    </row>
    <row r="9" spans="1:8" ht="15" x14ac:dyDescent="0.25">
      <c r="A9" s="20">
        <v>2</v>
      </c>
      <c r="B9" s="67" t="s">
        <v>104</v>
      </c>
      <c r="C9" s="67">
        <v>1457.7</v>
      </c>
      <c r="D9" s="22">
        <v>633</v>
      </c>
      <c r="E9" s="31">
        <v>107.7</v>
      </c>
      <c r="F9" s="37">
        <f t="shared" ref="F9:F17" si="0">SUM(E9-D9)</f>
        <v>-525.29999999999995</v>
      </c>
      <c r="G9" s="37">
        <f t="shared" ref="G9:G17" si="1">SUM(E9/D9*100)</f>
        <v>17.014218009478675</v>
      </c>
    </row>
    <row r="10" spans="1:8" ht="16.95" customHeight="1" x14ac:dyDescent="0.25">
      <c r="A10" s="20">
        <v>3</v>
      </c>
      <c r="B10" s="17" t="s">
        <v>105</v>
      </c>
      <c r="C10" s="17">
        <v>1302.7</v>
      </c>
      <c r="D10" s="29">
        <v>736.9</v>
      </c>
      <c r="E10" s="22">
        <v>676</v>
      </c>
      <c r="F10" s="37">
        <f t="shared" si="0"/>
        <v>-60.899999999999977</v>
      </c>
      <c r="G10" s="37">
        <f t="shared" si="1"/>
        <v>91.73564934183743</v>
      </c>
    </row>
    <row r="11" spans="1:8" ht="15" x14ac:dyDescent="0.25">
      <c r="A11" s="20">
        <v>4</v>
      </c>
      <c r="B11" s="39" t="s">
        <v>106</v>
      </c>
      <c r="C11" s="146">
        <v>27454</v>
      </c>
      <c r="D11" s="146">
        <v>17016.5</v>
      </c>
      <c r="E11" s="39">
        <v>7581.2</v>
      </c>
      <c r="F11" s="37">
        <f t="shared" si="0"/>
        <v>-9435.2999999999993</v>
      </c>
      <c r="G11" s="31">
        <f t="shared" si="1"/>
        <v>44.552052419710279</v>
      </c>
    </row>
    <row r="12" spans="1:8" ht="15" x14ac:dyDescent="0.25">
      <c r="A12" s="20">
        <v>5</v>
      </c>
      <c r="B12" s="39" t="s">
        <v>107</v>
      </c>
      <c r="C12" s="22">
        <v>8817</v>
      </c>
      <c r="D12" s="25">
        <v>5015.3</v>
      </c>
      <c r="E12" s="73">
        <v>3165.8</v>
      </c>
      <c r="F12" s="37">
        <f t="shared" si="0"/>
        <v>-1849.5</v>
      </c>
      <c r="G12" s="37">
        <f t="shared" si="1"/>
        <v>63.122844097062995</v>
      </c>
    </row>
    <row r="13" spans="1:8" ht="15" x14ac:dyDescent="0.25">
      <c r="A13" s="20">
        <v>6</v>
      </c>
      <c r="B13" s="22" t="s">
        <v>108</v>
      </c>
      <c r="C13" s="22">
        <f>2584</f>
        <v>2584</v>
      </c>
      <c r="D13" s="30">
        <v>1525.6</v>
      </c>
      <c r="E13" s="22">
        <v>1117.2</v>
      </c>
      <c r="F13" s="37">
        <f t="shared" si="0"/>
        <v>-408.39999999999986</v>
      </c>
      <c r="G13" s="37">
        <f t="shared" si="1"/>
        <v>73.23020450970111</v>
      </c>
    </row>
    <row r="14" spans="1:8" ht="15" x14ac:dyDescent="0.25">
      <c r="A14" s="20">
        <v>7</v>
      </c>
      <c r="B14" s="74" t="s">
        <v>229</v>
      </c>
      <c r="C14" s="22">
        <v>6361.1</v>
      </c>
      <c r="D14" s="30">
        <v>2923.8</v>
      </c>
      <c r="E14" s="22">
        <v>1805.3</v>
      </c>
      <c r="F14" s="37">
        <f t="shared" si="0"/>
        <v>-1118.5000000000002</v>
      </c>
      <c r="G14" s="37">
        <f t="shared" si="1"/>
        <v>61.744989397359596</v>
      </c>
    </row>
    <row r="15" spans="1:8" ht="16.95" customHeight="1" x14ac:dyDescent="0.25">
      <c r="A15" s="20">
        <v>8</v>
      </c>
      <c r="B15" s="22" t="s">
        <v>109</v>
      </c>
      <c r="C15" s="22">
        <v>18838</v>
      </c>
      <c r="D15" s="29">
        <v>11772.2</v>
      </c>
      <c r="E15" s="22">
        <v>8216.7000000000007</v>
      </c>
      <c r="F15" s="37">
        <f t="shared" si="0"/>
        <v>-3555.5</v>
      </c>
      <c r="G15" s="37">
        <f t="shared" si="1"/>
        <v>69.797488999507323</v>
      </c>
    </row>
    <row r="16" spans="1:8" ht="15" x14ac:dyDescent="0.25">
      <c r="A16" s="20">
        <v>9</v>
      </c>
      <c r="B16" s="22" t="s">
        <v>110</v>
      </c>
      <c r="C16" s="22">
        <v>93817.600000000006</v>
      </c>
      <c r="D16" s="19">
        <v>55872.2</v>
      </c>
      <c r="E16" s="39">
        <v>42707.6</v>
      </c>
      <c r="F16" s="37">
        <f t="shared" si="0"/>
        <v>-13164.599999999999</v>
      </c>
      <c r="G16" s="37">
        <f>SUM(E16/D16*100)</f>
        <v>76.438013895998367</v>
      </c>
    </row>
    <row r="17" spans="1:7" ht="15" x14ac:dyDescent="0.25">
      <c r="A17" s="20">
        <v>10</v>
      </c>
      <c r="B17" s="22" t="s">
        <v>111</v>
      </c>
      <c r="C17" s="22">
        <v>22355</v>
      </c>
      <c r="D17" s="22">
        <v>12452.2</v>
      </c>
      <c r="E17" s="22">
        <v>10121.1</v>
      </c>
      <c r="F17" s="37">
        <f>SUM(E17-D17)</f>
        <v>-2331.1000000000004</v>
      </c>
      <c r="G17" s="37">
        <f t="shared" si="1"/>
        <v>81.279613241033715</v>
      </c>
    </row>
    <row r="18" spans="1:7" ht="15" x14ac:dyDescent="0.25">
      <c r="A18" s="20"/>
      <c r="B18" s="23" t="s">
        <v>83</v>
      </c>
      <c r="C18" s="31">
        <f>SUM(C8+C9+C10+C11+C12+C13+C14+C15+C16+C17)</f>
        <v>200853</v>
      </c>
      <c r="D18" s="31">
        <f>SUM(D8+D9+D10+D11+D12+D13+D14+D15+D16+D17)</f>
        <v>118343.4</v>
      </c>
      <c r="E18" s="31">
        <f>SUM(E8+E9+E10+E11+E12+E13+E14+E15+E16+E17)</f>
        <v>82239.400000000009</v>
      </c>
      <c r="F18" s="37">
        <f t="shared" ref="F18:F21" si="2">SUM(E18-D18)</f>
        <v>-36103.999999999985</v>
      </c>
      <c r="G18" s="37">
        <f>SUM(E18/D18*100)</f>
        <v>69.492172778541104</v>
      </c>
    </row>
    <row r="19" spans="1:7" ht="15" x14ac:dyDescent="0.25">
      <c r="A19" s="22"/>
      <c r="B19" s="22" t="s">
        <v>176</v>
      </c>
      <c r="C19" s="22">
        <v>1544.9</v>
      </c>
      <c r="D19" s="22">
        <v>1544.9</v>
      </c>
      <c r="E19" s="22">
        <v>1544.9</v>
      </c>
      <c r="F19" s="37">
        <f t="shared" si="2"/>
        <v>0</v>
      </c>
      <c r="G19" s="37">
        <f t="shared" ref="G19:G20" si="3">SUM(E19/D19*100)</f>
        <v>100</v>
      </c>
    </row>
    <row r="20" spans="1:7" ht="15" x14ac:dyDescent="0.25">
      <c r="A20" s="22"/>
      <c r="B20" s="22" t="s">
        <v>364</v>
      </c>
      <c r="C20" s="22">
        <v>2263.4</v>
      </c>
      <c r="D20" s="22">
        <v>1088.9000000000001</v>
      </c>
      <c r="E20" s="22">
        <v>1078.9000000000001</v>
      </c>
      <c r="F20" s="37">
        <f t="shared" si="2"/>
        <v>-10</v>
      </c>
      <c r="G20" s="37">
        <f t="shared" si="3"/>
        <v>99.081642024060983</v>
      </c>
    </row>
    <row r="21" spans="1:7" ht="15.6" x14ac:dyDescent="0.3">
      <c r="A21" s="22"/>
      <c r="B21" s="114" t="s">
        <v>99</v>
      </c>
      <c r="C21" s="48">
        <f>SUM(C18+C19+C20)</f>
        <v>204661.3</v>
      </c>
      <c r="D21" s="48">
        <f t="shared" ref="D21:F21" si="4">SUM(D18+D19+D20)</f>
        <v>120977.19999999998</v>
      </c>
      <c r="E21" s="48">
        <f>SUM(E18+E19+E20)</f>
        <v>84863.2</v>
      </c>
      <c r="F21" s="47">
        <f>SUM(E21-D21)</f>
        <v>-36113.999999999985</v>
      </c>
      <c r="G21" s="47">
        <f>SUM(E21/D21*100)</f>
        <v>70.14809402102216</v>
      </c>
    </row>
    <row r="23" spans="1:7" x14ac:dyDescent="0.25">
      <c r="C23" s="2"/>
      <c r="D23" s="2"/>
    </row>
  </sheetData>
  <mergeCells count="7">
    <mergeCell ref="F6:G6"/>
    <mergeCell ref="A3:G3"/>
    <mergeCell ref="A6:A7"/>
    <mergeCell ref="B6:B7"/>
    <mergeCell ref="C6:C7"/>
    <mergeCell ref="D6:D7"/>
    <mergeCell ref="E6:E7"/>
  </mergeCells>
  <printOptions horizontalCentered="1"/>
  <pageMargins left="1.1023622047244095" right="0.51181102362204722" top="0.9448818897637796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3"/>
  <sheetViews>
    <sheetView zoomScaleNormal="100" workbookViewId="0"/>
  </sheetViews>
  <sheetFormatPr defaultRowHeight="13.2" x14ac:dyDescent="0.25"/>
  <cols>
    <col min="1" max="1" width="6.33203125" customWidth="1"/>
    <col min="2" max="2" width="35.6640625" customWidth="1"/>
    <col min="3" max="3" width="9.6640625" customWidth="1"/>
    <col min="4" max="4" width="10.6640625" customWidth="1"/>
    <col min="5" max="5" width="10" customWidth="1"/>
    <col min="6" max="6" width="10.44140625" customWidth="1"/>
    <col min="7" max="7" width="9.88671875" customWidth="1"/>
    <col min="8" max="8" width="11" customWidth="1"/>
    <col min="9" max="9" width="10.109375" customWidth="1"/>
    <col min="10" max="10" width="10.44140625" customWidth="1"/>
  </cols>
  <sheetData>
    <row r="1" spans="1:10" ht="15" x14ac:dyDescent="0.25">
      <c r="I1" s="216" t="s">
        <v>158</v>
      </c>
      <c r="J1" s="216"/>
    </row>
    <row r="3" spans="1:10" ht="18.600000000000001" customHeight="1" x14ac:dyDescent="0.3">
      <c r="A3" s="215" t="s">
        <v>344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0" ht="15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" x14ac:dyDescent="0.25">
      <c r="A5" s="9"/>
      <c r="B5" s="9"/>
      <c r="C5" s="9"/>
      <c r="D5" s="9"/>
      <c r="E5" s="9"/>
      <c r="F5" s="9"/>
      <c r="G5" s="9"/>
      <c r="H5" s="9"/>
      <c r="I5" s="178" t="s">
        <v>148</v>
      </c>
      <c r="J5" s="178"/>
    </row>
    <row r="6" spans="1:10" ht="46.95" customHeight="1" x14ac:dyDescent="0.25">
      <c r="A6" s="173" t="s">
        <v>210</v>
      </c>
      <c r="B6" s="179" t="s">
        <v>157</v>
      </c>
      <c r="C6" s="200" t="s">
        <v>214</v>
      </c>
      <c r="D6" s="200" t="s">
        <v>163</v>
      </c>
      <c r="E6" s="200" t="s">
        <v>236</v>
      </c>
      <c r="F6" s="200" t="s">
        <v>163</v>
      </c>
      <c r="G6" s="200" t="s">
        <v>335</v>
      </c>
      <c r="H6" s="200" t="s">
        <v>163</v>
      </c>
      <c r="I6" s="217" t="s">
        <v>338</v>
      </c>
      <c r="J6" s="218"/>
    </row>
    <row r="7" spans="1:10" ht="21" customHeight="1" x14ac:dyDescent="0.25">
      <c r="A7" s="174"/>
      <c r="B7" s="180"/>
      <c r="C7" s="201"/>
      <c r="D7" s="201"/>
      <c r="E7" s="201"/>
      <c r="F7" s="201"/>
      <c r="G7" s="201"/>
      <c r="H7" s="201"/>
      <c r="I7" s="32" t="s">
        <v>215</v>
      </c>
      <c r="J7" s="33" t="s">
        <v>162</v>
      </c>
    </row>
    <row r="8" spans="1:10" ht="30" x14ac:dyDescent="0.25">
      <c r="A8" s="34" t="s">
        <v>0</v>
      </c>
      <c r="B8" s="35" t="s">
        <v>302</v>
      </c>
      <c r="C8" s="36">
        <v>33880.800000000003</v>
      </c>
      <c r="D8" s="37">
        <f t="shared" ref="D8:D37" si="0">SUM(C8/$C$40*100)</f>
        <v>49.555720347349904</v>
      </c>
      <c r="E8" s="37">
        <v>35276.9</v>
      </c>
      <c r="F8" s="37">
        <f>SUM(E8/E40*100)</f>
        <v>47.836198152557721</v>
      </c>
      <c r="G8" s="37">
        <v>44045.1</v>
      </c>
      <c r="H8" s="37">
        <f>SUM(G8/G40*100)</f>
        <v>51.901295261079014</v>
      </c>
      <c r="I8" s="31">
        <f>SUM(G8-E8)</f>
        <v>8768.1999999999971</v>
      </c>
      <c r="J8" s="31">
        <f>SUM(G8/E8*100)</f>
        <v>124.85535860577318</v>
      </c>
    </row>
    <row r="9" spans="1:10" ht="15" x14ac:dyDescent="0.25">
      <c r="A9" s="22" t="s">
        <v>1</v>
      </c>
      <c r="B9" s="30" t="s">
        <v>168</v>
      </c>
      <c r="C9" s="37">
        <f>SUM(C10:C26)</f>
        <v>10026.099999999999</v>
      </c>
      <c r="D9" s="37">
        <f t="shared" si="0"/>
        <v>14.664665762749543</v>
      </c>
      <c r="E9" s="37">
        <f>SUM(E10:E26)</f>
        <v>10822.6</v>
      </c>
      <c r="F9" s="37">
        <f>SUM(E9/E40*100)</f>
        <v>14.675667026464092</v>
      </c>
      <c r="G9" s="37">
        <f>SUM(G10:G26)</f>
        <v>13028.400000000001</v>
      </c>
      <c r="H9" s="37">
        <f>SUM(G9/G40*100)</f>
        <v>15.352237483385029</v>
      </c>
      <c r="I9" s="31">
        <f>SUM(G9-E9)</f>
        <v>2205.8000000000011</v>
      </c>
      <c r="J9" s="31">
        <f>SUM(G9/E9*100)</f>
        <v>120.38142405706577</v>
      </c>
    </row>
    <row r="10" spans="1:10" ht="15" x14ac:dyDescent="0.25">
      <c r="A10" s="22" t="s">
        <v>113</v>
      </c>
      <c r="B10" s="30" t="s">
        <v>84</v>
      </c>
      <c r="C10" s="37">
        <v>929.6</v>
      </c>
      <c r="D10" s="37">
        <f t="shared" si="0"/>
        <v>1.359678568242086</v>
      </c>
      <c r="E10" s="37">
        <v>1131.5999999999999</v>
      </c>
      <c r="F10" s="37">
        <f>SUM(E10/E40*100)</f>
        <v>1.5344727521248835</v>
      </c>
      <c r="G10" s="37">
        <v>1181.2</v>
      </c>
      <c r="H10" s="37">
        <f>SUM(G10/G40*100)</f>
        <v>1.391887178423628</v>
      </c>
      <c r="I10" s="31">
        <f>SUM(G10-E10)</f>
        <v>49.600000000000136</v>
      </c>
      <c r="J10" s="31">
        <f t="shared" ref="J10:J36" si="1">SUM(G10/E10*100)</f>
        <v>104.38317426652529</v>
      </c>
    </row>
    <row r="11" spans="1:10" ht="15" x14ac:dyDescent="0.25">
      <c r="A11" s="22" t="s">
        <v>114</v>
      </c>
      <c r="B11" s="30" t="s">
        <v>85</v>
      </c>
      <c r="C11" s="37">
        <v>23.1</v>
      </c>
      <c r="D11" s="37">
        <f t="shared" si="0"/>
        <v>3.3787193337340996E-2</v>
      </c>
      <c r="E11" s="37">
        <v>19.7</v>
      </c>
      <c r="F11" s="37">
        <f>SUM(E11/E40*100)</f>
        <v>2.6713603054842886E-2</v>
      </c>
      <c r="G11" s="37">
        <v>22</v>
      </c>
      <c r="H11" s="37">
        <f>SUM(G11/G40*100)</f>
        <v>2.5924075453199982E-2</v>
      </c>
      <c r="I11" s="31">
        <f t="shared" ref="I11:I31" si="2">SUM(G11-E11)</f>
        <v>2.3000000000000007</v>
      </c>
      <c r="J11" s="31">
        <f t="shared" si="1"/>
        <v>111.67512690355331</v>
      </c>
    </row>
    <row r="12" spans="1:10" ht="15" x14ac:dyDescent="0.25">
      <c r="A12" s="22" t="s">
        <v>115</v>
      </c>
      <c r="B12" s="30" t="s">
        <v>86</v>
      </c>
      <c r="C12" s="37">
        <v>53.6</v>
      </c>
      <c r="D12" s="37">
        <f t="shared" si="0"/>
        <v>7.8397989735128876E-2</v>
      </c>
      <c r="E12" s="37">
        <v>48.7</v>
      </c>
      <c r="F12" s="37">
        <f>SUM(E12/E40*100)</f>
        <v>6.6038196384307038E-2</v>
      </c>
      <c r="G12" s="37">
        <v>50.2</v>
      </c>
      <c r="H12" s="37">
        <f>SUM(G12/G40*100)</f>
        <v>5.9154026715938141E-2</v>
      </c>
      <c r="I12" s="31">
        <f t="shared" si="2"/>
        <v>1.5</v>
      </c>
      <c r="J12" s="31">
        <f t="shared" si="1"/>
        <v>103.08008213552363</v>
      </c>
    </row>
    <row r="13" spans="1:10" ht="15" x14ac:dyDescent="0.25">
      <c r="A13" s="22" t="s">
        <v>116</v>
      </c>
      <c r="B13" s="30" t="s">
        <v>87</v>
      </c>
      <c r="C13" s="37">
        <v>418.6</v>
      </c>
      <c r="D13" s="37">
        <f t="shared" si="0"/>
        <v>0.61226489744636103</v>
      </c>
      <c r="E13" s="37">
        <v>466.9</v>
      </c>
      <c r="F13" s="37">
        <f>SUM(E13/E40*100)</f>
        <v>0.63312595260437277</v>
      </c>
      <c r="G13" s="37">
        <v>548.79999999999995</v>
      </c>
      <c r="H13" s="37">
        <f>SUM(G13/G40*100)</f>
        <v>0.64668784585073391</v>
      </c>
      <c r="I13" s="31">
        <f t="shared" si="2"/>
        <v>81.899999999999977</v>
      </c>
      <c r="J13" s="31">
        <f t="shared" si="1"/>
        <v>117.54122938530733</v>
      </c>
    </row>
    <row r="14" spans="1:10" ht="15" x14ac:dyDescent="0.25">
      <c r="A14" s="22" t="s">
        <v>117</v>
      </c>
      <c r="B14" s="30" t="s">
        <v>88</v>
      </c>
      <c r="C14" s="37">
        <v>37.6</v>
      </c>
      <c r="D14" s="37">
        <f t="shared" si="0"/>
        <v>5.4995604739568014E-2</v>
      </c>
      <c r="E14" s="37">
        <v>48.2</v>
      </c>
      <c r="F14" s="37">
        <f>SUM(E14/E40*100)</f>
        <v>6.53601861544887E-2</v>
      </c>
      <c r="G14" s="37">
        <v>63.9</v>
      </c>
      <c r="H14" s="37">
        <f>SUM(G14/G40*100)</f>
        <v>7.5297655520885395E-2</v>
      </c>
      <c r="I14" s="31">
        <f t="shared" si="2"/>
        <v>15.699999999999996</v>
      </c>
      <c r="J14" s="31">
        <f t="shared" si="1"/>
        <v>132.57261410788382</v>
      </c>
    </row>
    <row r="15" spans="1:10" ht="15" x14ac:dyDescent="0.25">
      <c r="A15" s="22" t="s">
        <v>118</v>
      </c>
      <c r="B15" s="30" t="s">
        <v>89</v>
      </c>
      <c r="C15" s="38">
        <v>84.3</v>
      </c>
      <c r="D15" s="31">
        <f t="shared" si="0"/>
        <v>0.12330131594536127</v>
      </c>
      <c r="E15" s="38">
        <v>85.4</v>
      </c>
      <c r="F15" s="31">
        <f>SUM(E15/E40*100)</f>
        <v>0.11580414725297374</v>
      </c>
      <c r="G15" s="38">
        <v>78.2</v>
      </c>
      <c r="H15" s="37">
        <f>SUM(G15/G40*100)</f>
        <v>9.2148304565465383E-2</v>
      </c>
      <c r="I15" s="31">
        <f t="shared" si="2"/>
        <v>-7.2000000000000028</v>
      </c>
      <c r="J15" s="31">
        <f t="shared" si="1"/>
        <v>91.569086651053865</v>
      </c>
    </row>
    <row r="16" spans="1:10" ht="15" x14ac:dyDescent="0.25">
      <c r="A16" s="39" t="s">
        <v>119</v>
      </c>
      <c r="B16" s="17" t="s">
        <v>122</v>
      </c>
      <c r="C16" s="31">
        <v>1757.4</v>
      </c>
      <c r="D16" s="37">
        <f t="shared" si="0"/>
        <v>2.5704594619499157</v>
      </c>
      <c r="E16" s="31">
        <v>1689.9</v>
      </c>
      <c r="F16" s="40">
        <f>SUM(E16/E40*100)</f>
        <v>2.2915389747400505</v>
      </c>
      <c r="G16" s="31">
        <v>2221.5</v>
      </c>
      <c r="H16" s="37">
        <f>SUM(G16/G40*100)</f>
        <v>2.6177424372401705</v>
      </c>
      <c r="I16" s="31">
        <f t="shared" si="2"/>
        <v>531.59999999999991</v>
      </c>
      <c r="J16" s="31">
        <f t="shared" si="1"/>
        <v>131.4574826912835</v>
      </c>
    </row>
    <row r="17" spans="1:10" ht="15" x14ac:dyDescent="0.25">
      <c r="A17" s="41" t="s">
        <v>120</v>
      </c>
      <c r="B17" s="19" t="s">
        <v>216</v>
      </c>
      <c r="C17" s="37">
        <v>66.900000000000006</v>
      </c>
      <c r="D17" s="37">
        <f t="shared" si="0"/>
        <v>9.7851222262688844E-2</v>
      </c>
      <c r="E17" s="37">
        <v>117.9</v>
      </c>
      <c r="F17" s="37">
        <f>SUM(E17/E40*100)</f>
        <v>0.15987481219116631</v>
      </c>
      <c r="G17" s="37">
        <v>99</v>
      </c>
      <c r="H17" s="37">
        <f>SUM(G17/G40*100)</f>
        <v>0.11665833953939991</v>
      </c>
      <c r="I17" s="31">
        <f t="shared" si="2"/>
        <v>-18.900000000000006</v>
      </c>
      <c r="J17" s="31">
        <f t="shared" si="1"/>
        <v>83.969465648854964</v>
      </c>
    </row>
    <row r="18" spans="1:10" ht="15" x14ac:dyDescent="0.25">
      <c r="A18" s="22" t="s">
        <v>121</v>
      </c>
      <c r="B18" s="19" t="s">
        <v>125</v>
      </c>
      <c r="C18" s="37">
        <v>251.3</v>
      </c>
      <c r="D18" s="37">
        <f t="shared" si="0"/>
        <v>0.36756370933652777</v>
      </c>
      <c r="E18" s="37">
        <v>735.8</v>
      </c>
      <c r="F18" s="37">
        <f>SUM(E18/E40*100)</f>
        <v>0.99775985420067992</v>
      </c>
      <c r="G18" s="37">
        <v>837.8</v>
      </c>
      <c r="H18" s="37">
        <f>SUM(G18/G40*100)</f>
        <v>0.98723592794049742</v>
      </c>
      <c r="I18" s="31">
        <f t="shared" si="2"/>
        <v>102</v>
      </c>
      <c r="J18" s="31">
        <f t="shared" si="1"/>
        <v>113.8624626257135</v>
      </c>
    </row>
    <row r="19" spans="1:10" ht="15" x14ac:dyDescent="0.25">
      <c r="A19" s="22" t="s">
        <v>123</v>
      </c>
      <c r="B19" s="19" t="s">
        <v>90</v>
      </c>
      <c r="C19" s="37">
        <v>114.2</v>
      </c>
      <c r="D19" s="37">
        <f t="shared" si="0"/>
        <v>0.16703452290581564</v>
      </c>
      <c r="E19" s="37">
        <v>127.8</v>
      </c>
      <c r="F19" s="37">
        <f>SUM(E19/E40*100)</f>
        <v>0.17329941474156957</v>
      </c>
      <c r="G19" s="37">
        <v>109.2</v>
      </c>
      <c r="H19" s="37">
        <f>SUM(G19/G40*100)</f>
        <v>0.12867768361315626</v>
      </c>
      <c r="I19" s="31">
        <f t="shared" si="2"/>
        <v>-18.599999999999994</v>
      </c>
      <c r="J19" s="31">
        <f t="shared" si="1"/>
        <v>85.44600938967136</v>
      </c>
    </row>
    <row r="20" spans="1:10" ht="30" x14ac:dyDescent="0.25">
      <c r="A20" s="22" t="s">
        <v>124</v>
      </c>
      <c r="B20" s="42" t="s">
        <v>217</v>
      </c>
      <c r="C20" s="37">
        <v>1.2</v>
      </c>
      <c r="D20" s="37">
        <f t="shared" si="0"/>
        <v>1.7551788746670643E-3</v>
      </c>
      <c r="E20" s="37">
        <v>0.8</v>
      </c>
      <c r="F20" s="37">
        <f>SUM(E20/E40*100)</f>
        <v>1.0848163677093558E-3</v>
      </c>
      <c r="G20" s="37">
        <v>0.8</v>
      </c>
      <c r="H20" s="37">
        <f>SUM(G20/G40*100)</f>
        <v>9.4269365284363569E-4</v>
      </c>
      <c r="I20" s="31">
        <f t="shared" si="2"/>
        <v>0</v>
      </c>
      <c r="J20" s="31">
        <f>SUM(G20/E20*100)</f>
        <v>100</v>
      </c>
    </row>
    <row r="21" spans="1:10" ht="15" x14ac:dyDescent="0.25">
      <c r="A21" s="22" t="s">
        <v>126</v>
      </c>
      <c r="B21" s="19" t="s">
        <v>91</v>
      </c>
      <c r="C21" s="37">
        <v>1266.5999999999999</v>
      </c>
      <c r="D21" s="37">
        <f t="shared" si="0"/>
        <v>1.8525913022110863</v>
      </c>
      <c r="E21" s="37">
        <v>1458.3</v>
      </c>
      <c r="F21" s="37">
        <f>SUM(E21/E40*100)</f>
        <v>1.9774846362881922</v>
      </c>
      <c r="G21" s="37">
        <v>1999.6</v>
      </c>
      <c r="H21" s="37">
        <f>SUM(G21/G40*100)</f>
        <v>2.356262785282667</v>
      </c>
      <c r="I21" s="31">
        <f>SUM(G21-E21)</f>
        <v>541.29999999999995</v>
      </c>
      <c r="J21" s="31">
        <f>SUM(G21/E21*100)</f>
        <v>137.1185627100048</v>
      </c>
    </row>
    <row r="22" spans="1:10" ht="30" x14ac:dyDescent="0.25">
      <c r="A22" s="41" t="s">
        <v>127</v>
      </c>
      <c r="B22" s="43" t="s">
        <v>218</v>
      </c>
      <c r="C22" s="37">
        <v>293</v>
      </c>
      <c r="D22" s="37">
        <f t="shared" si="0"/>
        <v>0.4285561752312082</v>
      </c>
      <c r="E22" s="37">
        <v>396.9</v>
      </c>
      <c r="F22" s="37">
        <f>SUM(E22/E40*100)</f>
        <v>0.53820452042980416</v>
      </c>
      <c r="G22" s="37">
        <v>397.3</v>
      </c>
      <c r="H22" s="37">
        <f>SUM(G22/G40*100)</f>
        <v>0.46816523534347054</v>
      </c>
      <c r="I22" s="31">
        <f t="shared" si="2"/>
        <v>0.40000000000003411</v>
      </c>
      <c r="J22" s="31">
        <f>SUM(G22/E22*100)</f>
        <v>100.10078105316202</v>
      </c>
    </row>
    <row r="23" spans="1:10" ht="15" x14ac:dyDescent="0.25">
      <c r="A23" s="22" t="s">
        <v>128</v>
      </c>
      <c r="B23" s="43" t="s">
        <v>92</v>
      </c>
      <c r="C23" s="37">
        <v>75</v>
      </c>
      <c r="D23" s="37">
        <f t="shared" si="0"/>
        <v>0.10969867966669153</v>
      </c>
      <c r="E23" s="37">
        <v>87.8</v>
      </c>
      <c r="F23" s="37">
        <f>SUM(E23/E40*100)</f>
        <v>0.11905859635610179</v>
      </c>
      <c r="G23" s="37">
        <v>32.299999999999997</v>
      </c>
      <c r="H23" s="37">
        <f>SUM(G23/G40*100)</f>
        <v>3.8061256233561783E-2</v>
      </c>
      <c r="I23" s="31">
        <f t="shared" si="2"/>
        <v>-55.5</v>
      </c>
      <c r="J23" s="31">
        <f>SUM(G23/E23*100)</f>
        <v>36.788154897494302</v>
      </c>
    </row>
    <row r="24" spans="1:10" ht="15" x14ac:dyDescent="0.25">
      <c r="A24" s="22" t="s">
        <v>165</v>
      </c>
      <c r="B24" s="19" t="s">
        <v>219</v>
      </c>
      <c r="C24" s="37">
        <v>52.3</v>
      </c>
      <c r="D24" s="37">
        <f t="shared" si="0"/>
        <v>7.6496545954239548E-2</v>
      </c>
      <c r="E24" s="37">
        <v>78.2</v>
      </c>
      <c r="F24" s="37">
        <f>SUM(E24/E40*100)</f>
        <v>0.10604079994358953</v>
      </c>
      <c r="G24" s="37">
        <v>72.7</v>
      </c>
      <c r="H24" s="37">
        <f>SUM(G24/G40*100)</f>
        <v>8.5667285702165391E-2</v>
      </c>
      <c r="I24" s="31">
        <f t="shared" si="2"/>
        <v>-5.5</v>
      </c>
      <c r="J24" s="31">
        <f>IFERROR(G24/E24*100,0)</f>
        <v>92.966751918158565</v>
      </c>
    </row>
    <row r="25" spans="1:10" ht="15" x14ac:dyDescent="0.25">
      <c r="A25" s="22" t="s">
        <v>220</v>
      </c>
      <c r="B25" s="19" t="s">
        <v>334</v>
      </c>
      <c r="C25" s="37">
        <v>0</v>
      </c>
      <c r="D25" s="37">
        <f t="shared" si="0"/>
        <v>0</v>
      </c>
      <c r="E25" s="37">
        <v>0</v>
      </c>
      <c r="F25" s="37">
        <f>SUM(E25/E40*100)</f>
        <v>0</v>
      </c>
      <c r="G25" s="37">
        <v>13.6</v>
      </c>
      <c r="H25" s="37">
        <f>SUM(G25/G40*100)</f>
        <v>1.6025792098341804E-2</v>
      </c>
      <c r="I25" s="31">
        <f t="shared" si="2"/>
        <v>13.6</v>
      </c>
      <c r="J25" s="31">
        <f>IFERROR(G25/E25*100,0)</f>
        <v>0</v>
      </c>
    </row>
    <row r="26" spans="1:10" ht="15" x14ac:dyDescent="0.25">
      <c r="A26" s="22" t="s">
        <v>333</v>
      </c>
      <c r="B26" s="19" t="s">
        <v>221</v>
      </c>
      <c r="C26" s="37">
        <v>4601.3999999999996</v>
      </c>
      <c r="D26" s="37">
        <f t="shared" si="0"/>
        <v>6.7302333949108579</v>
      </c>
      <c r="E26" s="37">
        <v>4328.7</v>
      </c>
      <c r="F26" s="37">
        <f>SUM(E26/E40*100)</f>
        <v>5.869805763629361</v>
      </c>
      <c r="G26" s="37">
        <v>5300.3</v>
      </c>
      <c r="H26" s="37">
        <f>SUM(G26/G40*100)</f>
        <v>6.2456989602089026</v>
      </c>
      <c r="I26" s="31">
        <f t="shared" si="2"/>
        <v>971.60000000000036</v>
      </c>
      <c r="J26" s="31">
        <f>SUM(G26/E26*100)</f>
        <v>122.44553792131587</v>
      </c>
    </row>
    <row r="27" spans="1:10" ht="15" x14ac:dyDescent="0.25">
      <c r="A27" s="22" t="s">
        <v>2</v>
      </c>
      <c r="B27" s="30" t="s">
        <v>10</v>
      </c>
      <c r="C27" s="37">
        <v>269.60000000000002</v>
      </c>
      <c r="D27" s="37">
        <f t="shared" si="0"/>
        <v>0.39433018717520046</v>
      </c>
      <c r="E27" s="37">
        <f>SUM(E28:E29)</f>
        <v>233.4</v>
      </c>
      <c r="F27" s="37">
        <f>SUM(E27/E40*100)</f>
        <v>0.31649517527920457</v>
      </c>
      <c r="G27" s="37">
        <f>SUM(G28:G29)</f>
        <v>1360.2</v>
      </c>
      <c r="H27" s="37">
        <f>SUM(G27/G40*100)</f>
        <v>1.6028148832473916</v>
      </c>
      <c r="I27" s="31">
        <f t="shared" si="2"/>
        <v>1126.8</v>
      </c>
      <c r="J27" s="31">
        <f>SUM(G27/E27*100)</f>
        <v>582.77634961439594</v>
      </c>
    </row>
    <row r="28" spans="1:10" ht="30" x14ac:dyDescent="0.25">
      <c r="A28" s="22" t="s">
        <v>329</v>
      </c>
      <c r="B28" s="142" t="s">
        <v>331</v>
      </c>
      <c r="C28" s="37">
        <v>0</v>
      </c>
      <c r="D28" s="37">
        <f t="shared" si="0"/>
        <v>0</v>
      </c>
      <c r="E28" s="37">
        <v>0</v>
      </c>
      <c r="F28" s="37">
        <f>SUM(E28/E40*100)</f>
        <v>0</v>
      </c>
      <c r="G28" s="31">
        <v>1133.9000000000001</v>
      </c>
      <c r="H28" s="37">
        <f>SUM(G28/G40*100)</f>
        <v>1.3361504161992481</v>
      </c>
      <c r="I28" s="31">
        <f t="shared" si="2"/>
        <v>1133.9000000000001</v>
      </c>
      <c r="J28" s="31">
        <v>0</v>
      </c>
    </row>
    <row r="29" spans="1:10" ht="15" x14ac:dyDescent="0.25">
      <c r="A29" s="22" t="s">
        <v>330</v>
      </c>
      <c r="B29" s="30" t="s">
        <v>332</v>
      </c>
      <c r="C29" s="37">
        <v>269.60000000000002</v>
      </c>
      <c r="D29" s="37">
        <f t="shared" si="0"/>
        <v>0.39433018717520046</v>
      </c>
      <c r="E29" s="37">
        <v>233.4</v>
      </c>
      <c r="F29" s="37">
        <f>SUM(E29/E40*100)</f>
        <v>0.31649517527920457</v>
      </c>
      <c r="G29" s="31">
        <v>226.3</v>
      </c>
      <c r="H29" s="37">
        <f>SUM(G29/G40*100)</f>
        <v>0.26666446704814345</v>
      </c>
      <c r="I29" s="31">
        <f t="shared" si="2"/>
        <v>-7.0999999999999943</v>
      </c>
      <c r="J29" s="31">
        <f>SUM(G29/E29*100)</f>
        <v>96.958011996572409</v>
      </c>
    </row>
    <row r="30" spans="1:10" ht="15" x14ac:dyDescent="0.25">
      <c r="A30" s="22" t="s">
        <v>3</v>
      </c>
      <c r="B30" s="30" t="s">
        <v>93</v>
      </c>
      <c r="C30" s="37">
        <v>360.7</v>
      </c>
      <c r="D30" s="37">
        <f t="shared" si="0"/>
        <v>0.52757751674367515</v>
      </c>
      <c r="E30" s="79">
        <v>937.8</v>
      </c>
      <c r="F30" s="37">
        <f>SUM(E30/E40*100)</f>
        <v>1.2716759870472922</v>
      </c>
      <c r="G30" s="79">
        <v>1016</v>
      </c>
      <c r="H30" s="37">
        <f>SUM(G30/G40*100)</f>
        <v>1.1972209391114172</v>
      </c>
      <c r="I30" s="31">
        <f t="shared" si="2"/>
        <v>78.200000000000045</v>
      </c>
      <c r="J30" s="31">
        <f t="shared" si="1"/>
        <v>108.33866496054596</v>
      </c>
    </row>
    <row r="31" spans="1:10" ht="15" x14ac:dyDescent="0.25">
      <c r="A31" s="22" t="s">
        <v>4</v>
      </c>
      <c r="B31" s="30" t="s">
        <v>94</v>
      </c>
      <c r="C31" s="37">
        <v>4853</v>
      </c>
      <c r="D31" s="37">
        <f t="shared" si="0"/>
        <v>7.0982358989660526</v>
      </c>
      <c r="E31" s="37">
        <v>4873.6000000000004</v>
      </c>
      <c r="F31" s="37">
        <f>SUM(E31/E40*100)</f>
        <v>6.6087013120853966</v>
      </c>
      <c r="G31" s="37">
        <v>5974.7</v>
      </c>
      <c r="H31" s="37">
        <f>SUM(G31/G40*100)</f>
        <v>7.040389709556087</v>
      </c>
      <c r="I31" s="31">
        <f t="shared" si="2"/>
        <v>1101.0999999999995</v>
      </c>
      <c r="J31" s="31">
        <f>SUM(G31/E31*100)</f>
        <v>122.59315495732106</v>
      </c>
    </row>
    <row r="32" spans="1:10" ht="15" x14ac:dyDescent="0.25">
      <c r="A32" s="22" t="s">
        <v>5</v>
      </c>
      <c r="B32" s="30" t="s">
        <v>95</v>
      </c>
      <c r="C32" s="37">
        <v>4340.7</v>
      </c>
      <c r="D32" s="37">
        <f t="shared" si="0"/>
        <v>6.3489207843894375</v>
      </c>
      <c r="E32" s="37">
        <v>5060</v>
      </c>
      <c r="F32" s="37">
        <f>SUM(E32/E40*100)</f>
        <v>6.8614635257616756</v>
      </c>
      <c r="G32" s="37">
        <v>5465</v>
      </c>
      <c r="H32" s="37">
        <f>SUM(G32/G40*100)</f>
        <v>6.4397760159880857</v>
      </c>
      <c r="I32" s="31">
        <f>SUM(G32-E32)</f>
        <v>405</v>
      </c>
      <c r="J32" s="31">
        <f t="shared" si="1"/>
        <v>108.00395256916997</v>
      </c>
    </row>
    <row r="33" spans="1:10" ht="30" x14ac:dyDescent="0.25">
      <c r="A33" s="22" t="s">
        <v>6</v>
      </c>
      <c r="B33" s="44" t="s">
        <v>222</v>
      </c>
      <c r="C33" s="37">
        <v>13819.6</v>
      </c>
      <c r="D33" s="37">
        <f t="shared" si="0"/>
        <v>20.213224980290804</v>
      </c>
      <c r="E33" s="37">
        <f>SUM(E35:E37)</f>
        <v>15612.3</v>
      </c>
      <c r="F33" s="37">
        <f>SUM(E33/E40*100)</f>
        <v>21.170598221985969</v>
      </c>
      <c r="G33" s="37">
        <f>SUM(G34:G37)</f>
        <v>11350</v>
      </c>
      <c r="H33" s="37">
        <f>SUM(G33/G40*100)</f>
        <v>13.374466199719079</v>
      </c>
      <c r="I33" s="31">
        <f t="shared" ref="I33" si="3">SUM(E33-C33)</f>
        <v>1792.6999999999989</v>
      </c>
      <c r="J33" s="31">
        <f>SUM(G33/E33*100)</f>
        <v>72.69908982020587</v>
      </c>
    </row>
    <row r="34" spans="1:10" ht="15" x14ac:dyDescent="0.25">
      <c r="A34" s="22" t="s">
        <v>223</v>
      </c>
      <c r="B34" s="45" t="s">
        <v>96</v>
      </c>
      <c r="C34" s="37">
        <v>73</v>
      </c>
      <c r="D34" s="37">
        <f t="shared" si="0"/>
        <v>0.10677338154224641</v>
      </c>
      <c r="E34" s="37">
        <v>0</v>
      </c>
      <c r="F34" s="37">
        <f>SUM(E37/E40*100)</f>
        <v>0.26835644896210187</v>
      </c>
      <c r="G34" s="37">
        <v>4.0999999999999996</v>
      </c>
      <c r="H34" s="37">
        <f>SUM(G34/G40*100)</f>
        <v>4.8313049708236322E-3</v>
      </c>
      <c r="I34" s="31">
        <f>SUM(G34-E37)</f>
        <v>-193.8</v>
      </c>
      <c r="J34" s="31">
        <v>0</v>
      </c>
    </row>
    <row r="35" spans="1:10" ht="15" x14ac:dyDescent="0.25">
      <c r="A35" s="22" t="s">
        <v>224</v>
      </c>
      <c r="B35" s="30" t="s">
        <v>154</v>
      </c>
      <c r="C35" s="37">
        <v>541.4</v>
      </c>
      <c r="D35" s="37">
        <f t="shared" si="0"/>
        <v>0.79187820228729044</v>
      </c>
      <c r="E35" s="37">
        <v>1008.9</v>
      </c>
      <c r="F35" s="37">
        <f>SUM(E35/E40*100)</f>
        <v>1.3680890417274614</v>
      </c>
      <c r="G35" s="37">
        <v>992.7</v>
      </c>
      <c r="H35" s="37">
        <f>SUM(G35/G40*100)</f>
        <v>1.1697649864723463</v>
      </c>
      <c r="I35" s="31">
        <f t="shared" ref="I35:I39" si="4">SUM(G35-E35)</f>
        <v>-16.199999999999932</v>
      </c>
      <c r="J35" s="31">
        <f>SUM(G35/E35*100)</f>
        <v>98.394290811775207</v>
      </c>
    </row>
    <row r="36" spans="1:10" ht="15" x14ac:dyDescent="0.25">
      <c r="A36" s="22" t="s">
        <v>225</v>
      </c>
      <c r="B36" s="45" t="s">
        <v>337</v>
      </c>
      <c r="C36" s="37">
        <v>13093.6</v>
      </c>
      <c r="D36" s="37">
        <f t="shared" si="0"/>
        <v>19.15134176111723</v>
      </c>
      <c r="E36" s="37">
        <v>14405.5</v>
      </c>
      <c r="F36" s="37">
        <f>SUM(E36/E40*100)</f>
        <v>19.534152731296405</v>
      </c>
      <c r="G36" s="37">
        <v>10083.700000000001</v>
      </c>
      <c r="H36" s="37">
        <f>SUM(G36/G40*100)</f>
        <v>11.88229998397421</v>
      </c>
      <c r="I36" s="31">
        <f>SUM(G36-E36)</f>
        <v>-4321.7999999999993</v>
      </c>
      <c r="J36" s="31">
        <f t="shared" si="1"/>
        <v>69.998958731040233</v>
      </c>
    </row>
    <row r="37" spans="1:10" ht="15" x14ac:dyDescent="0.25">
      <c r="A37" s="22" t="s">
        <v>226</v>
      </c>
      <c r="B37" s="45" t="s">
        <v>155</v>
      </c>
      <c r="C37" s="37">
        <v>111.6</v>
      </c>
      <c r="D37" s="37">
        <f t="shared" si="0"/>
        <v>0.16323163534403698</v>
      </c>
      <c r="E37" s="37">
        <v>197.9</v>
      </c>
      <c r="F37" s="37">
        <f>SUM(E37/$C$40*100)</f>
        <v>0.2894582494138434</v>
      </c>
      <c r="G37" s="37">
        <v>269.5</v>
      </c>
      <c r="H37" s="37">
        <f>SUM(G37/G40*100)</f>
        <v>0.31756992430169972</v>
      </c>
      <c r="I37" s="31">
        <f>SUM(G37-E37)</f>
        <v>71.599999999999994</v>
      </c>
      <c r="J37" s="31">
        <f>SUM(G37/E37*100)</f>
        <v>136.17988883274381</v>
      </c>
    </row>
    <row r="38" spans="1:10" ht="15" x14ac:dyDescent="0.25">
      <c r="A38" s="22" t="s">
        <v>7</v>
      </c>
      <c r="B38" s="45" t="s">
        <v>176</v>
      </c>
      <c r="C38" s="37"/>
      <c r="D38" s="37"/>
      <c r="E38" s="37"/>
      <c r="F38" s="37"/>
      <c r="G38" s="37">
        <v>1544.9</v>
      </c>
      <c r="H38" s="37">
        <f>SUM(G38/G40*100)</f>
        <v>1.8204592803476658</v>
      </c>
      <c r="I38" s="31">
        <f>SUM(G38-E38)</f>
        <v>1544.9</v>
      </c>
      <c r="J38" s="31">
        <v>0</v>
      </c>
    </row>
    <row r="39" spans="1:10" ht="15" x14ac:dyDescent="0.25">
      <c r="A39" s="22" t="s">
        <v>7</v>
      </c>
      <c r="B39" s="45" t="s">
        <v>227</v>
      </c>
      <c r="C39" s="37">
        <v>818.6</v>
      </c>
      <c r="D39" s="37">
        <f>SUM(C39/$C$40*100)</f>
        <v>1.1973245223353823</v>
      </c>
      <c r="E39" s="37">
        <v>928.6</v>
      </c>
      <c r="F39" s="37">
        <f>SUM(E39/E40*100)</f>
        <v>1.2592005988186348</v>
      </c>
      <c r="G39" s="37">
        <v>1078.9000000000001</v>
      </c>
      <c r="H39" s="37">
        <f>SUM(G39/G40*100)</f>
        <v>1.2713402275662482</v>
      </c>
      <c r="I39" s="31">
        <f t="shared" si="4"/>
        <v>150.30000000000007</v>
      </c>
      <c r="J39" s="31">
        <f>SUM(G39/E39*100)</f>
        <v>116.18565582597459</v>
      </c>
    </row>
    <row r="40" spans="1:10" ht="15.6" x14ac:dyDescent="0.3">
      <c r="A40" s="22"/>
      <c r="B40" s="46" t="s">
        <v>97</v>
      </c>
      <c r="C40" s="47">
        <f>SUM(C8+C9+C27+C30+C31+C32+C33+C39)</f>
        <v>68369.100000000006</v>
      </c>
      <c r="D40" s="47">
        <f>SUM(C40/C40*100)</f>
        <v>100</v>
      </c>
      <c r="E40" s="47">
        <f>SUM(E8+E9+E27+E30+E31+E32+E33+E39)</f>
        <v>73745.200000000012</v>
      </c>
      <c r="F40" s="47">
        <f>SUM(E40/E40*100)</f>
        <v>100</v>
      </c>
      <c r="G40" s="47">
        <f>SUM(G8+G9+G27+G30+G31+G32+G33+G39+G38)</f>
        <v>84863.199999999983</v>
      </c>
      <c r="H40" s="47">
        <f>SUM(G40/G40*100)</f>
        <v>100</v>
      </c>
      <c r="I40" s="48">
        <f>SUM(G40-E40)</f>
        <v>11117.999999999971</v>
      </c>
      <c r="J40" s="48">
        <f>SUM(G40/E40*100)</f>
        <v>115.07623547024073</v>
      </c>
    </row>
    <row r="43" spans="1:10" x14ac:dyDescent="0.25">
      <c r="D43" s="2"/>
      <c r="E43" s="2"/>
    </row>
  </sheetData>
  <mergeCells count="12">
    <mergeCell ref="I1:J1"/>
    <mergeCell ref="A3:J3"/>
    <mergeCell ref="I5:J5"/>
    <mergeCell ref="H6:H7"/>
    <mergeCell ref="I6:J6"/>
    <mergeCell ref="G6:G7"/>
    <mergeCell ref="A6:A7"/>
    <mergeCell ref="B6:B7"/>
    <mergeCell ref="C6:C7"/>
    <mergeCell ref="D6:D7"/>
    <mergeCell ref="E6:E7"/>
    <mergeCell ref="F6:F7"/>
  </mergeCells>
  <phoneticPr fontId="2" type="noConversion"/>
  <printOptions horizontalCentered="1"/>
  <pageMargins left="1.299212598425197" right="0.70866141732283472" top="0.35433070866141736" bottom="0.27559055118110237" header="0.31496062992125984" footer="0.31496062992125984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2"/>
  <sheetViews>
    <sheetView zoomScaleNormal="100" workbookViewId="0"/>
  </sheetViews>
  <sheetFormatPr defaultRowHeight="13.2" x14ac:dyDescent="0.25"/>
  <cols>
    <col min="1" max="1" width="7.109375" customWidth="1"/>
    <col min="2" max="2" width="37.109375" customWidth="1"/>
    <col min="3" max="3" width="14.44140625" customWidth="1"/>
    <col min="4" max="4" width="13.5546875" customWidth="1"/>
    <col min="5" max="5" width="10.109375" customWidth="1"/>
    <col min="6" max="6" width="11.88671875" customWidth="1"/>
    <col min="7" max="7" width="8.88671875" customWidth="1"/>
    <col min="8" max="8" width="10.6640625" bestFit="1" customWidth="1"/>
  </cols>
  <sheetData>
    <row r="1" spans="1:8" ht="15" x14ac:dyDescent="0.25">
      <c r="A1" s="49"/>
      <c r="B1" s="49"/>
      <c r="C1" s="49"/>
      <c r="D1" s="49"/>
      <c r="E1" s="49"/>
      <c r="F1" s="219" t="s">
        <v>102</v>
      </c>
      <c r="G1" s="219"/>
    </row>
    <row r="2" spans="1:8" ht="15.6" x14ac:dyDescent="0.3">
      <c r="A2" s="49"/>
      <c r="B2" s="222"/>
      <c r="C2" s="222"/>
      <c r="D2" s="222"/>
      <c r="E2" s="222"/>
      <c r="F2" s="50"/>
      <c r="G2" s="50"/>
    </row>
    <row r="3" spans="1:8" ht="15.6" x14ac:dyDescent="0.3">
      <c r="A3" s="222" t="s">
        <v>345</v>
      </c>
      <c r="B3" s="222"/>
      <c r="C3" s="222"/>
      <c r="D3" s="222"/>
      <c r="E3" s="222"/>
      <c r="F3" s="222"/>
      <c r="G3" s="222"/>
    </row>
    <row r="4" spans="1:8" ht="15" x14ac:dyDescent="0.25">
      <c r="A4" s="49"/>
      <c r="B4" s="49"/>
      <c r="C4" s="49"/>
      <c r="D4" s="49"/>
      <c r="E4" s="49"/>
      <c r="F4" s="49"/>
      <c r="G4" s="49"/>
    </row>
    <row r="5" spans="1:8" ht="15" x14ac:dyDescent="0.25">
      <c r="A5" s="49"/>
      <c r="B5" s="49"/>
      <c r="C5" s="49"/>
      <c r="D5" s="49"/>
      <c r="E5" s="49"/>
      <c r="F5" s="229" t="s">
        <v>148</v>
      </c>
      <c r="G5" s="229"/>
    </row>
    <row r="6" spans="1:8" ht="29.4" customHeight="1" x14ac:dyDescent="0.25">
      <c r="A6" s="223" t="s">
        <v>210</v>
      </c>
      <c r="B6" s="225" t="s">
        <v>157</v>
      </c>
      <c r="C6" s="223" t="s">
        <v>149</v>
      </c>
      <c r="D6" s="223" t="s">
        <v>346</v>
      </c>
      <c r="E6" s="225" t="s">
        <v>13</v>
      </c>
      <c r="F6" s="227" t="s">
        <v>347</v>
      </c>
      <c r="G6" s="228"/>
    </row>
    <row r="7" spans="1:8" ht="16.95" customHeight="1" x14ac:dyDescent="0.25">
      <c r="A7" s="224"/>
      <c r="B7" s="226"/>
      <c r="C7" s="224"/>
      <c r="D7" s="224"/>
      <c r="E7" s="226"/>
      <c r="F7" s="52" t="s">
        <v>167</v>
      </c>
      <c r="G7" s="51" t="s">
        <v>162</v>
      </c>
    </row>
    <row r="8" spans="1:8" ht="30" customHeight="1" x14ac:dyDescent="0.25">
      <c r="A8" s="22" t="s">
        <v>0</v>
      </c>
      <c r="B8" s="53" t="s">
        <v>302</v>
      </c>
      <c r="C8" s="121">
        <v>92286.9</v>
      </c>
      <c r="D8" s="54">
        <v>54458.5</v>
      </c>
      <c r="E8" s="39">
        <v>44045.1</v>
      </c>
      <c r="F8" s="37">
        <f>SUM(E8-D8)</f>
        <v>-10413.400000000001</v>
      </c>
      <c r="G8" s="31">
        <f>SUM(E8/D8*100)</f>
        <v>80.878283463554808</v>
      </c>
    </row>
    <row r="9" spans="1:8" ht="15" x14ac:dyDescent="0.25">
      <c r="A9" s="22" t="s">
        <v>1</v>
      </c>
      <c r="B9" s="30" t="s">
        <v>168</v>
      </c>
      <c r="C9" s="119">
        <f>SUM(C10:C26)</f>
        <v>34362.699999999997</v>
      </c>
      <c r="D9" s="30">
        <f>SUM(D10:D26)</f>
        <v>21175.800000000003</v>
      </c>
      <c r="E9" s="30">
        <f>SUM(E10:E26)</f>
        <v>13028.400000000001</v>
      </c>
      <c r="F9" s="37">
        <f t="shared" ref="F9:F39" si="0">SUM(E9-D9)</f>
        <v>-8147.4000000000015</v>
      </c>
      <c r="G9" s="31">
        <f t="shared" ref="G9:G38" si="1">SUM(E9/D9*100)</f>
        <v>61.52494829002918</v>
      </c>
    </row>
    <row r="10" spans="1:8" ht="15" x14ac:dyDescent="0.25">
      <c r="A10" s="55" t="s">
        <v>113</v>
      </c>
      <c r="B10" s="56" t="s">
        <v>84</v>
      </c>
      <c r="C10" s="122">
        <v>2724.6</v>
      </c>
      <c r="D10" s="56">
        <v>1485.2</v>
      </c>
      <c r="E10" s="55">
        <v>1181.2</v>
      </c>
      <c r="F10" s="57">
        <f t="shared" si="0"/>
        <v>-304</v>
      </c>
      <c r="G10" s="59">
        <f t="shared" si="1"/>
        <v>79.531376245623491</v>
      </c>
    </row>
    <row r="11" spans="1:8" ht="13.95" customHeight="1" x14ac:dyDescent="0.25">
      <c r="A11" s="55" t="s">
        <v>114</v>
      </c>
      <c r="B11" s="56" t="s">
        <v>85</v>
      </c>
      <c r="C11" s="122">
        <v>86.9</v>
      </c>
      <c r="D11" s="56">
        <v>46</v>
      </c>
      <c r="E11" s="55">
        <v>22</v>
      </c>
      <c r="F11" s="57">
        <f t="shared" si="0"/>
        <v>-24</v>
      </c>
      <c r="G11" s="59">
        <f t="shared" si="1"/>
        <v>47.826086956521742</v>
      </c>
    </row>
    <row r="12" spans="1:8" ht="15" x14ac:dyDescent="0.25">
      <c r="A12" s="55" t="s">
        <v>115</v>
      </c>
      <c r="B12" s="56" t="s">
        <v>86</v>
      </c>
      <c r="C12" s="122">
        <v>168.2</v>
      </c>
      <c r="D12" s="56">
        <v>87.4</v>
      </c>
      <c r="E12" s="55">
        <v>50.2</v>
      </c>
      <c r="F12" s="57">
        <f t="shared" si="0"/>
        <v>-37.200000000000003</v>
      </c>
      <c r="G12" s="59">
        <f t="shared" si="1"/>
        <v>57.437070938215108</v>
      </c>
    </row>
    <row r="13" spans="1:8" ht="15" x14ac:dyDescent="0.25">
      <c r="A13" s="55" t="s">
        <v>116</v>
      </c>
      <c r="B13" s="56" t="s">
        <v>87</v>
      </c>
      <c r="C13" s="122">
        <v>1165.2</v>
      </c>
      <c r="D13" s="56">
        <v>695.5</v>
      </c>
      <c r="E13" s="55">
        <v>548.79999999999995</v>
      </c>
      <c r="F13" s="57">
        <f t="shared" si="0"/>
        <v>-146.70000000000005</v>
      </c>
      <c r="G13" s="59">
        <f t="shared" si="1"/>
        <v>78.90726096333573</v>
      </c>
    </row>
    <row r="14" spans="1:8" ht="15" x14ac:dyDescent="0.25">
      <c r="A14" s="55" t="s">
        <v>117</v>
      </c>
      <c r="B14" s="56" t="s">
        <v>88</v>
      </c>
      <c r="C14" s="122">
        <v>160.1</v>
      </c>
      <c r="D14" s="56">
        <v>107.6</v>
      </c>
      <c r="E14" s="55">
        <v>63.9</v>
      </c>
      <c r="F14" s="57">
        <f t="shared" si="0"/>
        <v>-43.699999999999996</v>
      </c>
      <c r="G14" s="59">
        <f t="shared" si="1"/>
        <v>59.386617100371751</v>
      </c>
    </row>
    <row r="15" spans="1:8" ht="15" x14ac:dyDescent="0.25">
      <c r="A15" s="58" t="s">
        <v>118</v>
      </c>
      <c r="B15" s="55" t="s">
        <v>89</v>
      </c>
      <c r="C15" s="123">
        <v>292.3</v>
      </c>
      <c r="D15" s="55">
        <v>175.8</v>
      </c>
      <c r="E15" s="55">
        <v>78.2</v>
      </c>
      <c r="F15" s="59">
        <f t="shared" si="0"/>
        <v>-97.600000000000009</v>
      </c>
      <c r="G15" s="59">
        <f t="shared" si="1"/>
        <v>44.482366325369739</v>
      </c>
      <c r="H15" s="125"/>
    </row>
    <row r="16" spans="1:8" ht="15" customHeight="1" x14ac:dyDescent="0.25">
      <c r="A16" s="60" t="s">
        <v>119</v>
      </c>
      <c r="B16" s="61" t="s">
        <v>122</v>
      </c>
      <c r="C16" s="123">
        <v>4919.5</v>
      </c>
      <c r="D16" s="55">
        <v>3438.3</v>
      </c>
      <c r="E16" s="55">
        <v>2221.5</v>
      </c>
      <c r="F16" s="59">
        <f>SUM(E16-D16)</f>
        <v>-1216.8000000000002</v>
      </c>
      <c r="G16" s="59">
        <f>SUM(E16/D16*100)</f>
        <v>64.610417939097815</v>
      </c>
    </row>
    <row r="17" spans="1:8" ht="15" x14ac:dyDescent="0.25">
      <c r="A17" s="55" t="s">
        <v>120</v>
      </c>
      <c r="B17" s="62" t="s">
        <v>151</v>
      </c>
      <c r="C17" s="124">
        <v>260.3</v>
      </c>
      <c r="D17" s="63">
        <v>129.9</v>
      </c>
      <c r="E17" s="63">
        <v>99</v>
      </c>
      <c r="F17" s="64">
        <f t="shared" si="0"/>
        <v>-30.900000000000006</v>
      </c>
      <c r="G17" s="57">
        <f t="shared" si="1"/>
        <v>76.212471131639717</v>
      </c>
    </row>
    <row r="18" spans="1:8" ht="15" x14ac:dyDescent="0.25">
      <c r="A18" s="55" t="s">
        <v>121</v>
      </c>
      <c r="B18" s="62" t="s">
        <v>125</v>
      </c>
      <c r="C18" s="124">
        <v>2683.5</v>
      </c>
      <c r="D18" s="63">
        <v>1608.3</v>
      </c>
      <c r="E18" s="63">
        <v>837.8</v>
      </c>
      <c r="F18" s="64">
        <f t="shared" si="0"/>
        <v>-770.5</v>
      </c>
      <c r="G18" s="59">
        <f t="shared" si="1"/>
        <v>52.092271342411244</v>
      </c>
    </row>
    <row r="19" spans="1:8" ht="15" x14ac:dyDescent="0.25">
      <c r="A19" s="55" t="s">
        <v>123</v>
      </c>
      <c r="B19" s="62" t="s">
        <v>90</v>
      </c>
      <c r="C19" s="161">
        <v>421.9</v>
      </c>
      <c r="D19" s="63">
        <v>239.8</v>
      </c>
      <c r="E19" s="63">
        <v>109.2</v>
      </c>
      <c r="F19" s="64">
        <f t="shared" si="0"/>
        <v>-130.60000000000002</v>
      </c>
      <c r="G19" s="59">
        <f t="shared" si="1"/>
        <v>45.537948290241872</v>
      </c>
    </row>
    <row r="20" spans="1:8" ht="15" x14ac:dyDescent="0.25">
      <c r="A20" s="55" t="s">
        <v>124</v>
      </c>
      <c r="B20" s="62" t="s">
        <v>164</v>
      </c>
      <c r="C20" s="124">
        <v>1.5</v>
      </c>
      <c r="D20" s="63">
        <v>0.8</v>
      </c>
      <c r="E20" s="63">
        <v>0.8</v>
      </c>
      <c r="F20" s="65">
        <f t="shared" si="0"/>
        <v>0</v>
      </c>
      <c r="G20" s="59">
        <f t="shared" si="1"/>
        <v>100</v>
      </c>
    </row>
    <row r="21" spans="1:8" ht="15" x14ac:dyDescent="0.25">
      <c r="A21" s="55" t="s">
        <v>126</v>
      </c>
      <c r="B21" s="62" t="s">
        <v>91</v>
      </c>
      <c r="C21" s="124">
        <v>3358.7</v>
      </c>
      <c r="D21" s="63">
        <v>2704.3</v>
      </c>
      <c r="E21" s="63">
        <v>1999.6</v>
      </c>
      <c r="F21" s="64">
        <f t="shared" si="0"/>
        <v>-704.70000000000027</v>
      </c>
      <c r="G21" s="59">
        <f t="shared" si="1"/>
        <v>73.94150057316125</v>
      </c>
      <c r="H21" s="125"/>
    </row>
    <row r="22" spans="1:8" ht="15" x14ac:dyDescent="0.25">
      <c r="A22" s="55" t="s">
        <v>127</v>
      </c>
      <c r="B22" s="62" t="s">
        <v>152</v>
      </c>
      <c r="C22" s="124">
        <v>1092.5999999999999</v>
      </c>
      <c r="D22" s="63">
        <v>547.79999999999995</v>
      </c>
      <c r="E22" s="63">
        <v>397.3</v>
      </c>
      <c r="F22" s="64">
        <f t="shared" si="0"/>
        <v>-150.49999999999994</v>
      </c>
      <c r="G22" s="59">
        <f t="shared" si="1"/>
        <v>72.526469514421336</v>
      </c>
      <c r="H22" s="125"/>
    </row>
    <row r="23" spans="1:8" ht="15" x14ac:dyDescent="0.25">
      <c r="A23" s="55" t="s">
        <v>128</v>
      </c>
      <c r="B23" s="62" t="s">
        <v>92</v>
      </c>
      <c r="C23" s="124">
        <v>145.30000000000001</v>
      </c>
      <c r="D23" s="63">
        <v>92.2</v>
      </c>
      <c r="E23" s="63">
        <v>32.299999999999997</v>
      </c>
      <c r="F23" s="64">
        <f t="shared" si="0"/>
        <v>-59.900000000000006</v>
      </c>
      <c r="G23" s="59">
        <f t="shared" si="1"/>
        <v>35.032537960954443</v>
      </c>
    </row>
    <row r="24" spans="1:8" ht="15" x14ac:dyDescent="0.25">
      <c r="A24" s="55" t="s">
        <v>165</v>
      </c>
      <c r="B24" s="62" t="s">
        <v>219</v>
      </c>
      <c r="C24" s="124">
        <v>310.5</v>
      </c>
      <c r="D24" s="63">
        <v>147.69999999999999</v>
      </c>
      <c r="E24" s="63">
        <v>72.7</v>
      </c>
      <c r="F24" s="64">
        <f t="shared" si="0"/>
        <v>-74.999999999999986</v>
      </c>
      <c r="G24" s="59">
        <f t="shared" si="1"/>
        <v>49.221394719025056</v>
      </c>
    </row>
    <row r="25" spans="1:8" ht="15" x14ac:dyDescent="0.25">
      <c r="A25" s="55" t="s">
        <v>220</v>
      </c>
      <c r="B25" s="62" t="s">
        <v>334</v>
      </c>
      <c r="C25" s="124">
        <v>51.5</v>
      </c>
      <c r="D25" s="57">
        <v>31</v>
      </c>
      <c r="E25" s="63">
        <v>13.6</v>
      </c>
      <c r="F25" s="64">
        <f t="shared" ref="F25" si="2">SUM(E25-D25)</f>
        <v>-17.399999999999999</v>
      </c>
      <c r="G25" s="59">
        <f t="shared" ref="G25" si="3">SUM(E25/D25*100)</f>
        <v>43.870967741935488</v>
      </c>
    </row>
    <row r="26" spans="1:8" ht="15" x14ac:dyDescent="0.25">
      <c r="A26" s="55" t="s">
        <v>333</v>
      </c>
      <c r="B26" s="62" t="s">
        <v>129</v>
      </c>
      <c r="C26" s="123">
        <v>16520.099999999999</v>
      </c>
      <c r="D26" s="63">
        <v>9638.2000000000007</v>
      </c>
      <c r="E26" s="63">
        <v>5300.3</v>
      </c>
      <c r="F26" s="64">
        <f t="shared" si="0"/>
        <v>-4337.9000000000005</v>
      </c>
      <c r="G26" s="59">
        <f t="shared" si="1"/>
        <v>54.992633479280364</v>
      </c>
      <c r="H26" s="125"/>
    </row>
    <row r="27" spans="1:8" ht="15" x14ac:dyDescent="0.25">
      <c r="A27" s="22" t="s">
        <v>2</v>
      </c>
      <c r="B27" s="30" t="s">
        <v>153</v>
      </c>
      <c r="C27" s="119">
        <f>SUM(C28:C29)</f>
        <v>2650</v>
      </c>
      <c r="D27" s="119">
        <f t="shared" ref="D27" si="4">SUM(D28:D29)</f>
        <v>1396.6</v>
      </c>
      <c r="E27" s="147">
        <f>SUM(E28:E29)</f>
        <v>1360.2</v>
      </c>
      <c r="F27" s="40">
        <f t="shared" si="0"/>
        <v>-36.399999999999864</v>
      </c>
      <c r="G27" s="31">
        <f t="shared" si="1"/>
        <v>97.393670342259782</v>
      </c>
    </row>
    <row r="28" spans="1:8" ht="30" x14ac:dyDescent="0.25">
      <c r="A28" s="22" t="s">
        <v>329</v>
      </c>
      <c r="B28" s="142" t="s">
        <v>331</v>
      </c>
      <c r="C28" s="119">
        <v>2150</v>
      </c>
      <c r="D28" s="54">
        <v>1155</v>
      </c>
      <c r="E28" s="31">
        <v>1133.9000000000001</v>
      </c>
      <c r="F28" s="40">
        <f t="shared" si="0"/>
        <v>-21.099999999999909</v>
      </c>
      <c r="G28" s="31">
        <f t="shared" si="1"/>
        <v>98.173160173160184</v>
      </c>
    </row>
    <row r="29" spans="1:8" ht="15" x14ac:dyDescent="0.25">
      <c r="A29" s="22" t="s">
        <v>330</v>
      </c>
      <c r="B29" s="30" t="s">
        <v>332</v>
      </c>
      <c r="C29" s="119">
        <v>500</v>
      </c>
      <c r="D29" s="54">
        <v>241.6</v>
      </c>
      <c r="E29" s="31">
        <v>226.3</v>
      </c>
      <c r="F29" s="40">
        <f t="shared" si="0"/>
        <v>-15.299999999999983</v>
      </c>
      <c r="G29" s="31">
        <f t="shared" si="1"/>
        <v>93.66721854304636</v>
      </c>
    </row>
    <row r="30" spans="1:8" ht="15" x14ac:dyDescent="0.25">
      <c r="A30" s="22" t="s">
        <v>3</v>
      </c>
      <c r="B30" s="30" t="s">
        <v>93</v>
      </c>
      <c r="C30" s="119">
        <v>2000</v>
      </c>
      <c r="D30" s="30">
        <v>1200</v>
      </c>
      <c r="E30" s="22">
        <v>1016</v>
      </c>
      <c r="F30" s="40">
        <f t="shared" si="0"/>
        <v>-184</v>
      </c>
      <c r="G30" s="31">
        <f t="shared" si="1"/>
        <v>84.666666666666671</v>
      </c>
    </row>
    <row r="31" spans="1:8" ht="15" x14ac:dyDescent="0.25">
      <c r="A31" s="22" t="s">
        <v>4</v>
      </c>
      <c r="B31" s="30" t="s">
        <v>94</v>
      </c>
      <c r="C31" s="119">
        <v>11171.6</v>
      </c>
      <c r="D31" s="119">
        <v>7187.7</v>
      </c>
      <c r="E31" s="22">
        <v>5974.7</v>
      </c>
      <c r="F31" s="40">
        <f t="shared" si="0"/>
        <v>-1213</v>
      </c>
      <c r="G31" s="31">
        <f t="shared" si="1"/>
        <v>83.123947855364023</v>
      </c>
      <c r="H31" s="25"/>
    </row>
    <row r="32" spans="1:8" ht="15" x14ac:dyDescent="0.25">
      <c r="A32" s="22" t="s">
        <v>5</v>
      </c>
      <c r="B32" s="30" t="s">
        <v>95</v>
      </c>
      <c r="C32" s="119">
        <v>12261.2</v>
      </c>
      <c r="D32" s="30">
        <v>6867.2</v>
      </c>
      <c r="E32" s="22">
        <v>5465</v>
      </c>
      <c r="F32" s="40">
        <f t="shared" si="0"/>
        <v>-1402.1999999999998</v>
      </c>
      <c r="G32" s="31">
        <f t="shared" si="1"/>
        <v>79.581197576887234</v>
      </c>
    </row>
    <row r="33" spans="1:8" ht="30" customHeight="1" x14ac:dyDescent="0.25">
      <c r="A33" s="66" t="s">
        <v>6</v>
      </c>
      <c r="B33" s="44" t="s">
        <v>339</v>
      </c>
      <c r="C33" s="119">
        <f>SUM(C34:C37)</f>
        <v>46120.6</v>
      </c>
      <c r="D33" s="119">
        <f>SUM(D34:D37)</f>
        <v>26057.599999999999</v>
      </c>
      <c r="E33" s="119">
        <f>SUM(E34:E37)</f>
        <v>11350.000000000002</v>
      </c>
      <c r="F33" s="40">
        <f t="shared" si="0"/>
        <v>-14707.599999999997</v>
      </c>
      <c r="G33" s="31">
        <f t="shared" si="1"/>
        <v>43.557349871054903</v>
      </c>
    </row>
    <row r="34" spans="1:8" ht="17.399999999999999" customHeight="1" x14ac:dyDescent="0.25">
      <c r="A34" s="22" t="s">
        <v>223</v>
      </c>
      <c r="B34" s="44" t="s">
        <v>360</v>
      </c>
      <c r="C34" s="119">
        <v>558.79999999999995</v>
      </c>
      <c r="D34" s="30">
        <v>558.79999999999995</v>
      </c>
      <c r="E34" s="30">
        <v>4.0999999999999996</v>
      </c>
      <c r="F34" s="40">
        <f t="shared" ref="F34" si="5">SUM(E34-D34)</f>
        <v>-554.69999999999993</v>
      </c>
      <c r="G34" s="31">
        <f>SUM(E34/D34*100)</f>
        <v>0.73371510379384397</v>
      </c>
    </row>
    <row r="35" spans="1:8" ht="15" x14ac:dyDescent="0.25">
      <c r="A35" s="22" t="s">
        <v>224</v>
      </c>
      <c r="B35" s="45" t="s">
        <v>337</v>
      </c>
      <c r="C35" s="162">
        <v>41881</v>
      </c>
      <c r="D35" s="30">
        <v>23103.200000000001</v>
      </c>
      <c r="E35" s="22">
        <v>10083.700000000001</v>
      </c>
      <c r="F35" s="40">
        <f t="shared" si="0"/>
        <v>-13019.5</v>
      </c>
      <c r="G35" s="31">
        <f>SUM(E35/D35*100)</f>
        <v>43.646334706880438</v>
      </c>
      <c r="H35" s="25"/>
    </row>
    <row r="36" spans="1:8" ht="15" x14ac:dyDescent="0.25">
      <c r="A36" s="22" t="s">
        <v>225</v>
      </c>
      <c r="B36" s="30" t="s">
        <v>154</v>
      </c>
      <c r="C36" s="119">
        <v>2625.1</v>
      </c>
      <c r="D36" s="30">
        <v>1756.1</v>
      </c>
      <c r="E36" s="22">
        <v>992.7</v>
      </c>
      <c r="F36" s="40">
        <f>SUM(E36-D36)</f>
        <v>-763.39999999999986</v>
      </c>
      <c r="G36" s="31">
        <f>SUM(E36/D36*100)</f>
        <v>56.528671487956274</v>
      </c>
    </row>
    <row r="37" spans="1:8" ht="15" x14ac:dyDescent="0.25">
      <c r="A37" s="22" t="s">
        <v>226</v>
      </c>
      <c r="B37" s="45" t="s">
        <v>155</v>
      </c>
      <c r="C37" s="119">
        <v>1055.7</v>
      </c>
      <c r="D37" s="45">
        <v>639.5</v>
      </c>
      <c r="E37" s="67">
        <v>269.5</v>
      </c>
      <c r="F37" s="40">
        <f t="shared" si="0"/>
        <v>-370</v>
      </c>
      <c r="G37" s="31">
        <f t="shared" si="1"/>
        <v>42.142298670836595</v>
      </c>
      <c r="H37" s="25"/>
    </row>
    <row r="38" spans="1:8" ht="15" x14ac:dyDescent="0.25">
      <c r="A38" s="67" t="s">
        <v>7</v>
      </c>
      <c r="B38" s="45" t="s">
        <v>176</v>
      </c>
      <c r="C38" s="145">
        <v>1544.9</v>
      </c>
      <c r="D38" s="45">
        <v>1544.9</v>
      </c>
      <c r="E38" s="67">
        <v>1544.9</v>
      </c>
      <c r="F38" s="40">
        <f t="shared" si="0"/>
        <v>0</v>
      </c>
      <c r="G38" s="31">
        <f t="shared" si="1"/>
        <v>100</v>
      </c>
      <c r="H38" s="9"/>
    </row>
    <row r="39" spans="1:8" ht="15.6" thickBot="1" x14ac:dyDescent="0.3">
      <c r="A39" s="67" t="s">
        <v>18</v>
      </c>
      <c r="B39" s="45" t="s">
        <v>227</v>
      </c>
      <c r="C39" s="80">
        <v>2263.4</v>
      </c>
      <c r="D39" s="82">
        <v>1088.9000000000001</v>
      </c>
      <c r="E39" s="81">
        <v>1078.9000000000001</v>
      </c>
      <c r="F39" s="68">
        <f>SUM(E39-D39)</f>
        <v>-10</v>
      </c>
      <c r="G39" s="76">
        <f>SUM(E39/D39*100)</f>
        <v>99.081642024060983</v>
      </c>
    </row>
    <row r="40" spans="1:8" ht="16.2" thickBot="1" x14ac:dyDescent="0.35">
      <c r="A40" s="220" t="s">
        <v>83</v>
      </c>
      <c r="B40" s="221"/>
      <c r="C40" s="148">
        <f>SUM(C8+C9+C27+C30+C31+C32+C33+C38+C39)</f>
        <v>204661.3</v>
      </c>
      <c r="D40" s="148">
        <f t="shared" ref="D40" si="6">SUM(D8+D9+D27+D30+D31+D32+D33+D38+D39)</f>
        <v>120977.19999999998</v>
      </c>
      <c r="E40" s="148">
        <f>SUM(E8+E9+E27+E30+E31+E32+E33+E38+E39)</f>
        <v>84863.199999999983</v>
      </c>
      <c r="F40" s="148">
        <f>SUM(F8+F9+F27+F30+F31+F32+F33+F38+F39)</f>
        <v>-36114</v>
      </c>
      <c r="G40" s="118">
        <f>SUM(E40/D40*100)</f>
        <v>70.148094021022132</v>
      </c>
    </row>
    <row r="42" spans="1:8" x14ac:dyDescent="0.25">
      <c r="D42" s="2"/>
      <c r="E42" s="2"/>
    </row>
  </sheetData>
  <mergeCells count="11">
    <mergeCell ref="F1:G1"/>
    <mergeCell ref="A40:B40"/>
    <mergeCell ref="B2:E2"/>
    <mergeCell ref="A3:G3"/>
    <mergeCell ref="A6:A7"/>
    <mergeCell ref="B6:B7"/>
    <mergeCell ref="C6:C7"/>
    <mergeCell ref="D6:D7"/>
    <mergeCell ref="E6:E7"/>
    <mergeCell ref="F6:G6"/>
    <mergeCell ref="F5:G5"/>
  </mergeCells>
  <printOptions horizontalCentered="1"/>
  <pageMargins left="0.9055118110236221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biudžeto pajamų vykdymas</vt:lpstr>
      <vt:lpstr>pajamų už teikiamas pasl vykdym</vt:lpstr>
      <vt:lpstr>pajamo už patalpų nuomą</vt:lpstr>
      <vt:lpstr>vykdymas pagal asig valdytojus</vt:lpstr>
      <vt:lpstr>vykdymas pagal programas</vt:lpstr>
      <vt:lpstr>vykdymas pagal valstybės funk</vt:lpstr>
      <vt:lpstr>asignavimai pgl valstybės funk </vt:lpstr>
      <vt:lpstr>vykdymas pagal ekonom paskirst</vt:lpstr>
      <vt:lpstr>asignavimai pagal ekonom paskir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Reda Balčytienė</cp:lastModifiedBy>
  <cp:lastPrinted>2026-07-29T15:24:15Z</cp:lastPrinted>
  <dcterms:created xsi:type="dcterms:W3CDTF">1996-10-14T23:33:28Z</dcterms:created>
  <dcterms:modified xsi:type="dcterms:W3CDTF">2026-07-29T15:25:47Z</dcterms:modified>
</cp:coreProperties>
</file>