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ida.cedaviciene\Desktop\"/>
    </mc:Choice>
  </mc:AlternateContent>
  <xr:revisionPtr revIDLastSave="0" documentId="13_ncr:1_{5EB791FF-1417-486F-9207-28DFE50C00C2}" xr6:coauthVersionLast="47" xr6:coauthVersionMax="47" xr10:uidLastSave="{00000000-0000-0000-0000-000000000000}"/>
  <bookViews>
    <workbookView xWindow="-120" yWindow="-120" windowWidth="29040" windowHeight="15720" xr2:uid="{B1FE42B9-94AD-44E8-8352-2DD42A396A83}"/>
  </bookViews>
  <sheets>
    <sheet name="MVP" sheetId="3" r:id="rId1"/>
    <sheet name="Vykd " sheetId="24" r:id="rId2"/>
    <sheet name="Skaičiuoklė" sheetId="23" state="hidden" r:id="rId3"/>
  </sheets>
  <externalReferences>
    <externalReference r:id="rId4"/>
  </externalReferences>
  <definedNames>
    <definedName name="_xlnm._FilterDatabase" localSheetId="0" hidden="1">MVP!$A$3:$M$1324</definedName>
    <definedName name="_Hlk213834883" localSheetId="1">'[1]5'!#REF!</definedName>
    <definedName name="_Hlk213834883">#REF!</definedName>
    <definedName name="OLE_LINK1">#REF!</definedName>
    <definedName name="_xlnm.Print_Area" localSheetId="0">MVP!$A$1:$M$160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3" i="3" l="1"/>
  <c r="H390" i="3"/>
  <c r="H421" i="3"/>
  <c r="H420" i="3"/>
  <c r="H424" i="3"/>
  <c r="H423" i="3"/>
  <c r="H316" i="3"/>
  <c r="H364" i="3"/>
  <c r="H163" i="3"/>
  <c r="H218" i="3"/>
  <c r="H217" i="3"/>
  <c r="H278" i="3"/>
  <c r="H255" i="3"/>
  <c r="H27" i="3"/>
  <c r="H25" i="3"/>
  <c r="H153" i="3" l="1"/>
  <c r="H141" i="3"/>
  <c r="H117" i="3"/>
  <c r="H119" i="3" s="1"/>
  <c r="H113" i="3"/>
  <c r="H75" i="3" l="1"/>
  <c r="H11" i="3"/>
  <c r="H516" i="3"/>
  <c r="H450" i="3"/>
  <c r="H452" i="3"/>
  <c r="H557" i="3"/>
  <c r="H1138" i="3"/>
  <c r="H1296" i="3"/>
  <c r="H1091" i="3"/>
  <c r="H1262" i="3"/>
  <c r="H1306" i="3"/>
  <c r="H1300" i="3"/>
  <c r="H1216" i="3"/>
  <c r="H1218" i="3" s="1"/>
  <c r="H1275" i="3"/>
  <c r="H1056" i="3"/>
  <c r="H1057" i="3"/>
  <c r="H967" i="3"/>
  <c r="H957" i="3"/>
  <c r="H834" i="3"/>
  <c r="H776" i="3"/>
  <c r="H775" i="3"/>
  <c r="H822" i="3" l="1"/>
  <c r="H753" i="3"/>
  <c r="H888" i="3"/>
  <c r="H626" i="3"/>
  <c r="H629" i="3"/>
  <c r="H608" i="3"/>
  <c r="H610" i="3" s="1"/>
  <c r="H623" i="3"/>
  <c r="H625" i="3" s="1"/>
  <c r="H620" i="3"/>
  <c r="H622" i="3" s="1"/>
  <c r="H617" i="3"/>
  <c r="H619" i="3" s="1"/>
  <c r="H614" i="3"/>
  <c r="H616" i="3" s="1"/>
  <c r="H611" i="3"/>
  <c r="H613" i="3" s="1"/>
  <c r="H605" i="3"/>
  <c r="H607" i="3" s="1"/>
  <c r="H602" i="3"/>
  <c r="H604" i="3" s="1"/>
  <c r="H599" i="3"/>
  <c r="H601" i="3" s="1"/>
  <c r="H596" i="3"/>
  <c r="H598" i="3" s="1"/>
  <c r="H595" i="3"/>
  <c r="H593" i="3"/>
  <c r="H891" i="3" l="1"/>
  <c r="H245" i="3"/>
  <c r="H247" i="3" s="1"/>
  <c r="H287" i="3"/>
  <c r="H214" i="3"/>
  <c r="H206" i="3"/>
  <c r="H202" i="3" s="1"/>
  <c r="H200" i="3"/>
  <c r="H271" i="3"/>
  <c r="H903" i="3"/>
  <c r="H695" i="3"/>
  <c r="H661" i="3"/>
  <c r="H880" i="3"/>
  <c r="H864" i="3"/>
  <c r="H1277" i="3"/>
  <c r="H1278" i="3"/>
  <c r="H1279" i="3"/>
  <c r="H1313" i="3"/>
  <c r="H1101" i="3"/>
  <c r="H1019" i="3"/>
  <c r="H1022" i="3" s="1"/>
  <c r="H996" i="3"/>
  <c r="H933" i="3"/>
  <c r="H968" i="3"/>
  <c r="H981" i="3"/>
  <c r="H978" i="3"/>
  <c r="H962" i="3"/>
  <c r="H961" i="3"/>
  <c r="H960" i="3"/>
  <c r="H956" i="3"/>
  <c r="H959" i="3"/>
  <c r="H916" i="3"/>
  <c r="H1261" i="3" l="1"/>
  <c r="H1305" i="3"/>
  <c r="H994" i="3"/>
  <c r="H940" i="3" l="1"/>
  <c r="H530" i="3" l="1"/>
  <c r="H529" i="3"/>
  <c r="H582" i="3" s="1"/>
  <c r="H510" i="3" l="1"/>
  <c r="H560" i="3"/>
  <c r="H520" i="3"/>
  <c r="H471" i="3"/>
  <c r="H478" i="3"/>
  <c r="H482" i="3"/>
  <c r="H413" i="3" l="1"/>
  <c r="H416" i="3"/>
  <c r="H427" i="3"/>
  <c r="H426" i="3"/>
  <c r="H367" i="3"/>
  <c r="H107" i="3"/>
  <c r="H86" i="3"/>
  <c r="H87" i="3"/>
  <c r="H57" i="3"/>
  <c r="H16" i="3"/>
  <c r="H20" i="3"/>
  <c r="H94" i="3"/>
  <c r="H1016" i="3"/>
  <c r="H738" i="3"/>
  <c r="H736" i="3"/>
  <c r="H728" i="3"/>
  <c r="H703" i="3"/>
  <c r="H707" i="3"/>
  <c r="H878" i="3" l="1"/>
  <c r="H512" i="3"/>
  <c r="H431" i="3"/>
  <c r="H428" i="3"/>
  <c r="H302" i="3" l="1"/>
  <c r="H299" i="3"/>
  <c r="H304" i="3" s="1"/>
  <c r="H554" i="3" l="1"/>
  <c r="H1084" i="3"/>
  <c r="H1108" i="3"/>
  <c r="H1198" i="3"/>
  <c r="H1011" i="3"/>
  <c r="H658" i="3"/>
  <c r="H637" i="3" s="1"/>
  <c r="H682" i="3"/>
  <c r="H466" i="3"/>
  <c r="H584" i="3"/>
  <c r="H506" i="3"/>
  <c r="H472" i="3"/>
  <c r="H489" i="3"/>
  <c r="H509" i="3"/>
  <c r="H383" i="3"/>
  <c r="H381" i="3"/>
  <c r="H508" i="3" l="1"/>
  <c r="H365" i="3"/>
  <c r="H125" i="3" l="1"/>
  <c r="H1096" i="3" l="1"/>
  <c r="H1265" i="3" l="1"/>
  <c r="H1308" i="3"/>
  <c r="H1093" i="3"/>
  <c r="H1036" i="3"/>
  <c r="H1033" i="3"/>
  <c r="H989" i="3"/>
  <c r="H941" i="3"/>
  <c r="H635" i="3"/>
  <c r="H579" i="3" l="1"/>
  <c r="H577" i="3"/>
  <c r="H576" i="3"/>
  <c r="H574" i="3"/>
  <c r="H573" i="3"/>
  <c r="H289" i="3" l="1"/>
  <c r="H80" i="3"/>
  <c r="H156" i="3"/>
  <c r="H155" i="3"/>
  <c r="H147" i="3"/>
  <c r="H144" i="3"/>
  <c r="H269" i="3" l="1"/>
  <c r="H1322" i="3"/>
  <c r="H1319" i="3"/>
  <c r="H1315" i="3"/>
  <c r="H1314" i="3"/>
  <c r="H1311" i="3"/>
  <c r="H1310" i="3"/>
  <c r="H1309" i="3"/>
  <c r="H1297" i="3"/>
  <c r="H1293" i="3"/>
  <c r="H1258" i="3" s="1"/>
  <c r="H1291" i="3"/>
  <c r="H1289" i="3"/>
  <c r="H1286" i="3"/>
  <c r="H1282" i="3"/>
  <c r="H1272" i="3"/>
  <c r="H1274" i="3" s="1"/>
  <c r="H1271" i="3"/>
  <c r="H1269" i="3"/>
  <c r="H1260" i="3"/>
  <c r="H1257" i="3"/>
  <c r="H1256" i="3"/>
  <c r="H1255" i="3"/>
  <c r="H1254" i="3"/>
  <c r="H1251" i="3"/>
  <c r="H1249" i="3"/>
  <c r="H1245" i="3"/>
  <c r="H1243" i="3"/>
  <c r="H1241" i="3"/>
  <c r="H1237" i="3"/>
  <c r="H1239" i="3" s="1"/>
  <c r="H1236" i="3"/>
  <c r="H1234" i="3"/>
  <c r="H1232" i="3"/>
  <c r="H1229" i="3"/>
  <c r="H1226" i="3"/>
  <c r="H1224" i="3"/>
  <c r="H1223" i="3"/>
  <c r="H1222" i="3"/>
  <c r="H1221" i="3"/>
  <c r="H1215" i="3"/>
  <c r="H1212" i="3"/>
  <c r="H1213" i="3" s="1"/>
  <c r="H1211" i="3"/>
  <c r="H1208" i="3"/>
  <c r="H1205" i="3"/>
  <c r="H1202" i="3"/>
  <c r="H1199" i="3"/>
  <c r="H1196" i="3"/>
  <c r="H1191" i="3"/>
  <c r="H1190" i="3"/>
  <c r="H1092" i="3" s="1"/>
  <c r="H1189" i="3"/>
  <c r="H1089" i="3" s="1"/>
  <c r="H1170" i="3"/>
  <c r="H1167" i="3"/>
  <c r="H1160" i="3"/>
  <c r="H1139" i="3"/>
  <c r="H1134" i="3"/>
  <c r="H1130" i="3"/>
  <c r="H1127" i="3"/>
  <c r="H1123" i="3"/>
  <c r="H1119" i="3"/>
  <c r="H1114" i="3"/>
  <c r="H1110" i="3"/>
  <c r="H1106" i="3"/>
  <c r="H1102" i="3"/>
  <c r="H1100" i="3"/>
  <c r="H1318" i="3" s="1"/>
  <c r="H1099" i="3"/>
  <c r="H1320" i="3"/>
  <c r="H1095" i="3"/>
  <c r="H1094" i="3"/>
  <c r="H1304" i="3"/>
  <c r="H1071" i="3"/>
  <c r="H1060" i="3"/>
  <c r="H1070" i="3" s="1"/>
  <c r="H1054" i="3"/>
  <c r="H1046" i="3"/>
  <c r="H1045" i="3"/>
  <c r="H1038" i="3"/>
  <c r="H1027" i="3"/>
  <c r="H1037" i="3" s="1"/>
  <c r="H1025" i="3"/>
  <c r="H1040" i="3" s="1"/>
  <c r="H1024" i="3"/>
  <c r="H1039" i="3" s="1"/>
  <c r="H1013" i="3"/>
  <c r="H1007" i="3"/>
  <c r="H1031" i="3" s="1"/>
  <c r="H1006" i="3"/>
  <c r="H1003" i="3"/>
  <c r="H984" i="3"/>
  <c r="H979" i="3" s="1"/>
  <c r="H969" i="3"/>
  <c r="H964" i="3"/>
  <c r="H965" i="3" s="1"/>
  <c r="H963" i="3"/>
  <c r="H952" i="3"/>
  <c r="H947" i="3"/>
  <c r="H946" i="3"/>
  <c r="H944" i="3"/>
  <c r="H939" i="3"/>
  <c r="H937" i="3"/>
  <c r="H942" i="3" s="1"/>
  <c r="H932" i="3"/>
  <c r="H931" i="3"/>
  <c r="H927" i="3"/>
  <c r="H925" i="3"/>
  <c r="H920" i="3"/>
  <c r="H917" i="3"/>
  <c r="H909" i="3"/>
  <c r="H908" i="3"/>
  <c r="H900" i="3"/>
  <c r="H892" i="3"/>
  <c r="H872" i="3"/>
  <c r="H868" i="3" s="1"/>
  <c r="H870" i="3"/>
  <c r="H869" i="3"/>
  <c r="H860" i="3"/>
  <c r="H855" i="3"/>
  <c r="H842" i="3"/>
  <c r="H841" i="3"/>
  <c r="H840" i="3"/>
  <c r="H839" i="3"/>
  <c r="H835" i="3"/>
  <c r="H833" i="3"/>
  <c r="H830" i="3"/>
  <c r="H831" i="3" s="1"/>
  <c r="H829" i="3"/>
  <c r="H825" i="3"/>
  <c r="H824" i="3"/>
  <c r="H820" i="3"/>
  <c r="H819" i="3"/>
  <c r="H816" i="3"/>
  <c r="H815" i="3"/>
  <c r="H813" i="3"/>
  <c r="H811" i="3"/>
  <c r="H808" i="3"/>
  <c r="H794" i="3"/>
  <c r="H792" i="3"/>
  <c r="H788" i="3" s="1"/>
  <c r="H789" i="3" s="1"/>
  <c r="H780" i="3"/>
  <c r="H779" i="3"/>
  <c r="H772" i="3"/>
  <c r="H773" i="3"/>
  <c r="H769" i="3"/>
  <c r="H767" i="3"/>
  <c r="H763" i="3"/>
  <c r="H760" i="3"/>
  <c r="H750" i="3"/>
  <c r="H747" i="3"/>
  <c r="H693" i="3" s="1"/>
  <c r="H745" i="3"/>
  <c r="H727" i="3"/>
  <c r="H706" i="3"/>
  <c r="H694" i="3"/>
  <c r="H697" i="3"/>
  <c r="H696" i="3"/>
  <c r="H692" i="3"/>
  <c r="H691" i="3"/>
  <c r="H898" i="3" s="1"/>
  <c r="H681" i="3"/>
  <c r="H680" i="3"/>
  <c r="H675" i="3"/>
  <c r="H674" i="3"/>
  <c r="H665" i="3"/>
  <c r="H653" i="3"/>
  <c r="H651" i="3"/>
  <c r="H649" i="3"/>
  <c r="H647" i="3"/>
  <c r="H641" i="3"/>
  <c r="H640" i="3"/>
  <c r="H638" i="3"/>
  <c r="H631" i="3"/>
  <c r="H590" i="3"/>
  <c r="H591" i="3"/>
  <c r="H581" i="3"/>
  <c r="H580" i="3"/>
  <c r="H578" i="3"/>
  <c r="H572" i="3"/>
  <c r="H568" i="3"/>
  <c r="H575" i="3" s="1"/>
  <c r="H566" i="3"/>
  <c r="H563" i="3"/>
  <c r="H561" i="3"/>
  <c r="H559" i="3"/>
  <c r="H550" i="3"/>
  <c r="H544" i="3"/>
  <c r="H540" i="3"/>
  <c r="H537" i="3"/>
  <c r="H534" i="3"/>
  <c r="H531" i="3"/>
  <c r="H528" i="3"/>
  <c r="H525" i="3"/>
  <c r="H513" i="3"/>
  <c r="H511" i="3"/>
  <c r="H505" i="3"/>
  <c r="H502" i="3"/>
  <c r="H498" i="3"/>
  <c r="H496" i="3"/>
  <c r="H494" i="3"/>
  <c r="H491" i="3"/>
  <c r="H483" i="3"/>
  <c r="H479" i="3"/>
  <c r="H476" i="3"/>
  <c r="H473" i="3"/>
  <c r="H470" i="3"/>
  <c r="H467" i="3"/>
  <c r="H465" i="3"/>
  <c r="H460" i="3"/>
  <c r="H456" i="3"/>
  <c r="H453" i="3"/>
  <c r="H451" i="3"/>
  <c r="H449" i="3"/>
  <c r="H434" i="3"/>
  <c r="H425" i="3"/>
  <c r="H422" i="3"/>
  <c r="H441" i="3"/>
  <c r="H411" i="3"/>
  <c r="H437" i="3" s="1"/>
  <c r="H410" i="3"/>
  <c r="H407" i="3"/>
  <c r="H400" i="3"/>
  <c r="H396" i="3"/>
  <c r="H393" i="3"/>
  <c r="H391" i="3"/>
  <c r="H389" i="3"/>
  <c r="H385" i="3"/>
  <c r="H380" i="3"/>
  <c r="H373" i="3"/>
  <c r="H372" i="3"/>
  <c r="H371" i="3"/>
  <c r="H370" i="3"/>
  <c r="H369" i="3"/>
  <c r="H368" i="3"/>
  <c r="H366" i="3"/>
  <c r="H362" i="3"/>
  <c r="H354" i="3"/>
  <c r="H353" i="3"/>
  <c r="M349" i="3"/>
  <c r="H349" i="3"/>
  <c r="H347" i="3"/>
  <c r="H345" i="3"/>
  <c r="M343" i="3"/>
  <c r="H343" i="3"/>
  <c r="H340" i="3"/>
  <c r="H338" i="3"/>
  <c r="H336" i="3"/>
  <c r="H334" i="3"/>
  <c r="H332" i="3"/>
  <c r="M330" i="3"/>
  <c r="H330" i="3"/>
  <c r="M328" i="3"/>
  <c r="H327" i="3"/>
  <c r="H325" i="3"/>
  <c r="H322" i="3"/>
  <c r="H320" i="3"/>
  <c r="H313" i="3"/>
  <c r="H308" i="3"/>
  <c r="H306" i="3"/>
  <c r="H292" i="3"/>
  <c r="H291" i="3"/>
  <c r="H285" i="3"/>
  <c r="H284" i="3"/>
  <c r="H275" i="3"/>
  <c r="H276" i="3" s="1"/>
  <c r="H274" i="3"/>
  <c r="H265" i="3"/>
  <c r="H262" i="3"/>
  <c r="H258" i="3"/>
  <c r="H257" i="3"/>
  <c r="H256" i="3"/>
  <c r="H249" i="3"/>
  <c r="H242" i="3"/>
  <c r="H240" i="3"/>
  <c r="H235" i="3"/>
  <c r="H237" i="3" s="1"/>
  <c r="H234" i="3"/>
  <c r="H230" i="3"/>
  <c r="H226" i="3"/>
  <c r="H221" i="3"/>
  <c r="H219" i="3"/>
  <c r="H212" i="3"/>
  <c r="H203" i="3"/>
  <c r="H197" i="3"/>
  <c r="H192" i="3"/>
  <c r="H182" i="3"/>
  <c r="H169" i="3" s="1"/>
  <c r="H165" i="3"/>
  <c r="H166" i="3" s="1"/>
  <c r="H45" i="3"/>
  <c r="H149" i="3" s="1"/>
  <c r="H44" i="3"/>
  <c r="H32" i="3"/>
  <c r="H89" i="3"/>
  <c r="H90" i="3"/>
  <c r="H99" i="3"/>
  <c r="H100" i="3"/>
  <c r="H111" i="3"/>
  <c r="H84" i="3"/>
  <c r="H52" i="3"/>
  <c r="H53" i="3" s="1"/>
  <c r="H283" i="3" l="1"/>
  <c r="H838" i="3"/>
  <c r="H843" i="3" s="1"/>
  <c r="H986" i="3"/>
  <c r="H997" i="3" s="1"/>
  <c r="H935" i="3"/>
  <c r="H985" i="3" s="1"/>
  <c r="H430" i="3"/>
  <c r="H571" i="3"/>
  <c r="H585" i="3" s="1"/>
  <c r="H259" i="3"/>
  <c r="H261" i="3" s="1"/>
  <c r="H1253" i="3"/>
  <c r="H1263" i="3" s="1"/>
  <c r="H1227" i="3"/>
  <c r="H1220" i="3"/>
  <c r="H1225" i="3" s="1"/>
  <c r="H1088" i="3"/>
  <c r="H1053" i="3"/>
  <c r="H1055" i="3" s="1"/>
  <c r="H1009" i="3"/>
  <c r="H1041" i="3"/>
  <c r="H905" i="3"/>
  <c r="H871" i="3"/>
  <c r="H812" i="3"/>
  <c r="H569" i="3"/>
  <c r="H556" i="3" s="1"/>
  <c r="H438" i="3"/>
  <c r="H384" i="3"/>
  <c r="H433" i="3"/>
  <c r="H394" i="3"/>
  <c r="H374" i="3"/>
  <c r="H164" i="3"/>
  <c r="H669" i="3"/>
  <c r="H634" i="3" s="1"/>
  <c r="H151" i="3"/>
  <c r="H83" i="3"/>
  <c r="H698" i="3"/>
  <c r="H699" i="3" s="1"/>
  <c r="H899" i="3"/>
  <c r="H670" i="3"/>
  <c r="H904" i="3" s="1"/>
  <c r="H201" i="3"/>
  <c r="H774" i="3"/>
  <c r="H818" i="3"/>
  <c r="H906" i="3"/>
  <c r="H1317" i="3"/>
  <c r="H1294" i="3"/>
  <c r="H827" i="3"/>
  <c r="H821" i="3" s="1"/>
  <c r="H1303" i="3"/>
  <c r="H1192" i="3"/>
  <c r="H1280" i="3"/>
  <c r="H628" i="3"/>
  <c r="H901" i="3"/>
  <c r="H782" i="3"/>
  <c r="H907" i="3"/>
  <c r="H1047" i="3"/>
  <c r="H1103" i="3"/>
  <c r="H592" i="3"/>
  <c r="H1029" i="3"/>
  <c r="H468" i="3"/>
  <c r="H244" i="3"/>
  <c r="H360" i="3"/>
  <c r="H363" i="3" s="1"/>
  <c r="H485" i="3"/>
  <c r="H461" i="3"/>
  <c r="H446" i="3" s="1"/>
  <c r="H251" i="3"/>
  <c r="H253" i="3" s="1"/>
  <c r="H170" i="3"/>
  <c r="H171" i="3" s="1"/>
  <c r="H168" i="3" s="1"/>
  <c r="H419" i="3"/>
  <c r="H267" i="3"/>
  <c r="H268" i="3" s="1"/>
  <c r="H266" i="3" s="1"/>
  <c r="H405" i="3"/>
  <c r="H328" i="3"/>
  <c r="H387" i="3"/>
  <c r="H288" i="3"/>
  <c r="H375" i="3" l="1"/>
  <c r="H570" i="3"/>
  <c r="H282" i="3"/>
  <c r="H429" i="3"/>
  <c r="H1030" i="3"/>
  <c r="H1042" i="3" s="1"/>
  <c r="H671" i="3"/>
  <c r="H672" i="3" s="1"/>
  <c r="H639" i="3"/>
  <c r="H1302" i="3"/>
  <c r="H1301" i="3"/>
  <c r="H897" i="3"/>
  <c r="H998" i="3"/>
  <c r="H442" i="3"/>
  <c r="H326" i="3"/>
  <c r="H294" i="3"/>
  <c r="H350" i="3"/>
  <c r="H1323" i="3" l="1"/>
  <c r="H1324" i="3" s="1"/>
  <c r="H902" i="3"/>
  <c r="H911" i="3" s="1"/>
  <c r="H642" i="3"/>
  <c r="H643" i="3" s="1"/>
  <c r="H443" i="3"/>
  <c r="H586" i="3"/>
  <c r="H295" i="3"/>
  <c r="H896" i="3" l="1"/>
  <c r="H912" i="3" s="1"/>
  <c r="H110" i="3"/>
  <c r="H145" i="3"/>
  <c r="H135" i="3"/>
  <c r="H131" i="3"/>
  <c r="H122" i="3"/>
  <c r="H78" i="3" s="1"/>
  <c r="H143" i="3" l="1"/>
  <c r="H79" i="3"/>
  <c r="H152" i="3"/>
  <c r="H82" i="3"/>
  <c r="H126" i="3"/>
  <c r="H133" i="3"/>
  <c r="H114" i="3"/>
  <c r="H158" i="3" l="1"/>
  <c r="H146" i="3"/>
  <c r="H81" i="3"/>
  <c r="H139" i="3"/>
  <c r="H106" i="3"/>
  <c r="H88" i="3"/>
  <c r="H76" i="3"/>
  <c r="H73" i="3"/>
  <c r="H69" i="3"/>
  <c r="H66" i="3"/>
  <c r="H64" i="3"/>
  <c r="H60" i="3"/>
  <c r="H58" i="3"/>
  <c r="H56" i="3"/>
  <c r="H50" i="3"/>
  <c r="H42" i="3"/>
  <c r="H38" i="3"/>
  <c r="H35" i="3"/>
  <c r="H31" i="3"/>
  <c r="H29" i="3"/>
  <c r="H24" i="3"/>
  <c r="H21" i="3"/>
  <c r="H19" i="3"/>
  <c r="H15" i="3"/>
  <c r="H13" i="3"/>
  <c r="H9" i="3"/>
  <c r="H71" i="3" l="1"/>
  <c r="H130" i="3"/>
  <c r="H101" i="3"/>
  <c r="H93" i="3"/>
  <c r="H116" i="3"/>
  <c r="H97" i="3" l="1"/>
  <c r="H142" i="3" s="1"/>
  <c r="H77" i="3" l="1"/>
  <c r="H159" i="3"/>
  <c r="H160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tc={F2195063-A031-48A4-B6EF-B0AE46804BE4}</author>
  </authors>
  <commentList>
    <comment ref="K1276" authorId="0" shapeId="0" xr:uid="{F2195063-A031-48A4-B6EF-B0AE46804BE4}">
      <text>
        <t>[Komentarų gija]
„Excel“ versija leidžia jums skaityti šią komentarų giją, tačiau visi jos taisymai bus pašalinti, jei failas atidaromas naudojant naujesnę „Excel“ versiją. Daugiau informacijos: https://go.microsoft.com/fwlink/?linkid=870924.
Komentaras:
    35 000 Eur 08 mėn</t>
      </text>
    </comment>
  </commentList>
</comments>
</file>

<file path=xl/sharedStrings.xml><?xml version="1.0" encoding="utf-8"?>
<sst xmlns="http://schemas.openxmlformats.org/spreadsheetml/2006/main" count="6217" uniqueCount="2177">
  <si>
    <t>Programos Nr.</t>
  </si>
  <si>
    <t>SVP priemonės numeris</t>
  </si>
  <si>
    <t>Priemonės kodas detalizacijoje</t>
  </si>
  <si>
    <t>Priemonės pavadinimas</t>
  </si>
  <si>
    <t>Atsakingo kodas</t>
  </si>
  <si>
    <t>Kodas biudžete</t>
  </si>
  <si>
    <t>Finansavimo šaltinis</t>
  </si>
  <si>
    <t>2026 m.</t>
  </si>
  <si>
    <t>Požymis</t>
  </si>
  <si>
    <t>Veiklos vykdytojas (skyriaus ar įstaigos sutrumpinimas, darbuotojo V. Pavardė)</t>
  </si>
  <si>
    <t xml:space="preserve">Proceso ar/ir indėlio vertinimo kriterijai, matavimo vienetai </t>
  </si>
  <si>
    <r>
      <t>Seniūnijos teritorija (</t>
    </r>
    <r>
      <rPr>
        <i/>
        <sz val="8"/>
        <rFont val="Arial"/>
        <family val="2"/>
        <charset val="186"/>
      </rPr>
      <t>be įstaigų</t>
    </r>
    <r>
      <rPr>
        <sz val="8"/>
        <rFont val="Arial"/>
        <family val="2"/>
        <charset val="186"/>
      </rPr>
      <t>)</t>
    </r>
  </si>
  <si>
    <t>1-1 Uždavinys: Užtikrinti ugdymo programų įgyvendinimą, jų įvairovę</t>
  </si>
  <si>
    <t>1-1-1</t>
  </si>
  <si>
    <t>Įgyvendinti bendruosius ugdymo planus, užtikrinti tinkamą ugdymo (si) aplinką rajono formaliojo švietimo įstaigoms</t>
  </si>
  <si>
    <t>11.1</t>
  </si>
  <si>
    <t>ML</t>
  </si>
  <si>
    <t>ML (UK)</t>
  </si>
  <si>
    <t>ML(SL)</t>
  </si>
  <si>
    <t>SB</t>
  </si>
  <si>
    <t>I</t>
  </si>
  <si>
    <t>VBD</t>
  </si>
  <si>
    <t>S</t>
  </si>
  <si>
    <t>VBD(UK)</t>
  </si>
  <si>
    <t>Iš viso</t>
  </si>
  <si>
    <t>11.2</t>
  </si>
  <si>
    <t>11.6</t>
  </si>
  <si>
    <t>11.3</t>
  </si>
  <si>
    <t>11.4</t>
  </si>
  <si>
    <t>11.5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</si>
  <si>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</si>
  <si>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</si>
  <si>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</si>
  <si>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</si>
  <si>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</si>
  <si>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</si>
  <si>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</si>
  <si>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</si>
  <si>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</si>
  <si>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</si>
  <si>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</si>
  <si>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</si>
  <si>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ML(UK)</t>
  </si>
  <si>
    <t>11.23</t>
  </si>
  <si>
    <t>11.27</t>
  </si>
  <si>
    <t>1-1-1-21</t>
  </si>
  <si>
    <t>Metų mokytojo vardo premijos skyrimas ir Tarptautinės mokytojo dienos renginio organizavimas</t>
  </si>
  <si>
    <t>11</t>
  </si>
  <si>
    <t>1.1.3.4.</t>
  </si>
  <si>
    <t>NN</t>
  </si>
  <si>
    <t>ŠSS, A. Petravičius</t>
  </si>
  <si>
    <t>Apdovanojamų mokytojų skaičius, vnt.
Renginys Mokytojų dienos proga, vnt.</t>
  </si>
  <si>
    <t>3
1</t>
  </si>
  <si>
    <t>1-1-1-23</t>
  </si>
  <si>
    <t>"Tūkstantmečio mokyklų" programos projekto įgyvendinimas</t>
  </si>
  <si>
    <t>1.1.1.43</t>
  </si>
  <si>
    <t>ES</t>
  </si>
  <si>
    <t>ŠSS, R. Žvaginienė</t>
  </si>
  <si>
    <t>PS</t>
  </si>
  <si>
    <t>VBES</t>
  </si>
  <si>
    <t>1-1-1-24</t>
  </si>
  <si>
    <t>Įtraukusis ugdymas Klaipėdos rajono ugdymo įstaigose</t>
  </si>
  <si>
    <t>9</t>
  </si>
  <si>
    <t>1.1.3.19.</t>
  </si>
  <si>
    <t>NK</t>
  </si>
  <si>
    <t>SKPS, V. Viršilas</t>
  </si>
  <si>
    <t>Įrengtas liftas Gargždų "Kranto" progimnazijoje, vnt.</t>
  </si>
  <si>
    <t>Gargždų</t>
  </si>
  <si>
    <t>11.22</t>
  </si>
  <si>
    <t>11.21</t>
  </si>
  <si>
    <t>1-1-1-26</t>
  </si>
  <si>
    <t>Mokinių vežimo į ugdymo įstaigas finansavimas</t>
  </si>
  <si>
    <t>1.1.5.1.</t>
  </si>
  <si>
    <t>SKPS, R. Rudgalvienė</t>
  </si>
  <si>
    <t>Finansuojamų spec. reisų skaičius, vnt</t>
  </si>
  <si>
    <t>LK</t>
  </si>
  <si>
    <t>1-1-1-27</t>
  </si>
  <si>
    <t>Švietimo įstaigų elektros ir kuro išlaidų, šildymo  finansavimas</t>
  </si>
  <si>
    <t>1.1.5.4</t>
  </si>
  <si>
    <t>KŪAS, V. Gabrilavičius</t>
  </si>
  <si>
    <t xml:space="preserve">Panaudotos lėšos, proc. </t>
  </si>
  <si>
    <t>1-1-1-29</t>
  </si>
  <si>
    <t>Projekto „Ankstyvojo ugdymo užtikrinimas vaikams iš socialinę riziką patiriančių šeimų“ įgyvendinimas</t>
  </si>
  <si>
    <t>1.1.3.21.</t>
  </si>
  <si>
    <t>Mokyklų skaičius, kuriose įgyvendinamos projekto veiklos, vnt.</t>
  </si>
  <si>
    <t>1-1-1-30</t>
  </si>
  <si>
    <t>Lėšos išeitinėms išmokoms ir kitoms su darbo santykiais susijusioms išmokoms ir kompensacijoms mokėti</t>
  </si>
  <si>
    <t>1.4.4.31.</t>
  </si>
  <si>
    <t>CB, D. Drungilaitė</t>
  </si>
  <si>
    <t>Pervesta lėšų, proc.</t>
  </si>
  <si>
    <t>1-1-1-31</t>
  </si>
  <si>
    <t>Klaipėdos rajono savivaldybės administracijos vaiko gerovės komisijos darbo užtikrinimas</t>
  </si>
  <si>
    <t>1.1.3.22.</t>
  </si>
  <si>
    <t>TIBK, T. Stonkė</t>
  </si>
  <si>
    <t xml:space="preserve">Organizuotas komisijos darbas, vnt. </t>
  </si>
  <si>
    <t>1-1-1-32</t>
  </si>
  <si>
    <t>Projekto „Švietimo pagalbos ir
koordinuotai teikiamų paslaugų modelio
diegimas ir sklaida “ įgyvendinimas</t>
  </si>
  <si>
    <t xml:space="preserve">1.1.3.23. </t>
  </si>
  <si>
    <t>Vaikų, gaunančių koordinuotai teikiamas paslaugas 2026 m., skaičius</t>
  </si>
  <si>
    <t>1-1-1-33</t>
  </si>
  <si>
    <t>Projekto "Ugdymo priemonės mokykloms" įgyvendinimas</t>
  </si>
  <si>
    <t>1.1.3.24.</t>
  </si>
  <si>
    <t>ŠSS, B. Gudauskienė, R. Žvaginienė</t>
  </si>
  <si>
    <t xml:space="preserve">Administruotas projektas, vnt. </t>
  </si>
  <si>
    <t>1-1-1-34</t>
  </si>
  <si>
    <t>Visos dienos mokyklos paslaugų prieinamumo didinimas Klaipėdos rajono savivaldybėje</t>
  </si>
  <si>
    <t>1.1.3.25.</t>
  </si>
  <si>
    <t>ŠSS, V. Gudzevičienė</t>
  </si>
  <si>
    <t>Projekte dalyvaujančių mokinių skaičius, vnt.</t>
  </si>
  <si>
    <t>1-1-2</t>
  </si>
  <si>
    <t xml:space="preserve">Atsiskaitymas už  vaikų ugdymą Klaipėdos miesto savivaldybės ir privačiose ikimokyklinėse ir bendrojo ugdymo įstaigose </t>
  </si>
  <si>
    <t>1.4.4.30.</t>
  </si>
  <si>
    <t>ŠSS, A. Bočkuvienė</t>
  </si>
  <si>
    <t>Privačius darželius Klaipėdos rajone lankančių vaikų skaičius, kuriems teikiamos kompensacijos</t>
  </si>
  <si>
    <t>Privačius darželius Klaipėdos mieste lankančių vaikų skaičius, kuriems teikiamos kompensacijos</t>
  </si>
  <si>
    <t>Klaipėdos rajono vaikų skaičius Klaipėdos m. darželiuose</t>
  </si>
  <si>
    <t>Klaipėdos rajono vaikų skaičius Klaipėdos m. mokyklose</t>
  </si>
  <si>
    <t>ŠSS, S. Preibienė</t>
  </si>
  <si>
    <t>Sudaryta sutarčių su nevalstybinėmis įstaigomis mokymo lėšoms gauti</t>
  </si>
  <si>
    <t>Neformaliojo švietimo įstaigas Klaipėdos mieste  lankančių mokinių skaičius</t>
  </si>
  <si>
    <t>1-1-3</t>
  </si>
  <si>
    <t>Sudaryti sąlygas tenkinti mokinių pažinimo, ugdymosi ir saviraiškos poreikius</t>
  </si>
  <si>
    <t>1-1-3-1</t>
  </si>
  <si>
    <t>Mokinių, pasiekusių  geriausių rezultatų  ugdyme apdovanojimui ir  konkursų, olimpiadų, dainų švenčių išlaidų kompensavimui</t>
  </si>
  <si>
    <t>1.1.2.2.</t>
  </si>
  <si>
    <t>ŠSS, D. Pareigienė</t>
  </si>
  <si>
    <t>Finansuoti organizuoti renginiai Klaipėdos rajono savivaldybėje, Mokinių dainų šventė, vnt.</t>
  </si>
  <si>
    <t>11.19</t>
  </si>
  <si>
    <t>11.20</t>
  </si>
  <si>
    <t>1-1-3-4</t>
  </si>
  <si>
    <t>Neformaliojo vaikų švietimo programos įgyvendinimas</t>
  </si>
  <si>
    <t>1.2.1.5.</t>
  </si>
  <si>
    <t>Neformaliojo vaikų švietimo programų skaičius, vnt.</t>
  </si>
  <si>
    <t>1-1-3-5</t>
  </si>
  <si>
    <t>Vaikų vasaros poilsio programų įgyvendinimas</t>
  </si>
  <si>
    <t>1.1.3.5.</t>
  </si>
  <si>
    <t>Vaikų vasaros poilsio programų skaičius, vnt.</t>
  </si>
  <si>
    <t>1-1-3-6</t>
  </si>
  <si>
    <t>Neformaliojo suaugusiųjų švietimo programų finansavimas</t>
  </si>
  <si>
    <t>1.1.3.3.</t>
  </si>
  <si>
    <t>Įvertintų programų skaičius, vnt.</t>
  </si>
  <si>
    <t>1-1-3-7</t>
  </si>
  <si>
    <t>Neformaliojo vaikų švietimo elektroninės apskaitos sistemos ir ekosistemos atsiskaitymams negrynaisiais pinigais mokyklų valgyklose kūrimas</t>
  </si>
  <si>
    <t>1.1.3.13.</t>
  </si>
  <si>
    <t>ŠSS, D. Pareigienė, R. Žvaginienė</t>
  </si>
  <si>
    <t xml:space="preserve">Įdiegtos NVŠ lankomumo sistemos priežiūra NVŠ  teikėjų, vnt.,             pagal poreikį įsigytų elektroninių mokinių pažymėjimų, vnt.                                                                         </t>
  </si>
  <si>
    <t>89
2700</t>
  </si>
  <si>
    <t>1-1-3-8</t>
  </si>
  <si>
    <t>Mokinių verslumo ir finansinio raštingumo projektų iniciatyvų skatinimas švietimo įstaigose</t>
  </si>
  <si>
    <t>1.1.3.14.</t>
  </si>
  <si>
    <t xml:space="preserve">
Mokinių iniciatyvų projektų skaičius, vnt.
Mokinių mažųjų bendrovių eXpo paroda, vnt.</t>
  </si>
  <si>
    <t>15
1</t>
  </si>
  <si>
    <t>1-1-4</t>
  </si>
  <si>
    <t>Sudaryti sąlygas gyventojams Klaipėdos rajono švietimo centre tenkinti pažinimo poreikius, tobulinti įgytą kvalifikaciją</t>
  </si>
  <si>
    <t>1-1-4-2</t>
  </si>
  <si>
    <t>Pedagogų rengimo, perkvalifikavimo, jaunųjų pedagogų pritraukimo ir mokytojo prestižo didinimo dalinis finansavimas</t>
  </si>
  <si>
    <t>1.1.3.17.</t>
  </si>
  <si>
    <t>Sudarytų finansavimo sutarčių su persikvalifikuojančiais mokytojais ir studentais skaičius, vnt.</t>
  </si>
  <si>
    <t xml:space="preserve">1-2 Uždavinys: Modernizuoti švietimo įstaigas, atnaujinti jų turimą turtą </t>
  </si>
  <si>
    <t>1-2-1</t>
  </si>
  <si>
    <t>Švietimo įstaigoms autobusų pirkimas</t>
  </si>
  <si>
    <t>1.1.5.2.</t>
  </si>
  <si>
    <t>Įsigytų autobusų skaičius, vnt.</t>
  </si>
  <si>
    <t>iš viso</t>
  </si>
  <si>
    <t>1-2-2</t>
  </si>
  <si>
    <t>Švietimo įstaigų patalpų remontas, mokyklinių autobusų remontas, buitinės, organizacinės technikos, mokymo priemonių įsigijimas</t>
  </si>
  <si>
    <t>1.4.4.28.</t>
  </si>
  <si>
    <t>Endriejavo pagrindinė mokykla</t>
  </si>
  <si>
    <t>Agluonėnų mokykla-darželis</t>
  </si>
  <si>
    <t>Gargždų muzikos mokykla</t>
  </si>
  <si>
    <t>Pedagoginė psichologinė tarnyba</t>
  </si>
  <si>
    <t>Slengių mokykla-daugiafunkcinis centras</t>
  </si>
  <si>
    <t>Lėšų paskirstymas švietimo įstaigoms pagal pateiktus prašymus ir lėšų poreikį, įgyvendinta veikla, vnt.</t>
  </si>
  <si>
    <t>1-2-3</t>
  </si>
  <si>
    <t>Ugdymo įstaigų modernizavimas ir plėtra:</t>
  </si>
  <si>
    <t>VBM</t>
  </si>
  <si>
    <t>SL(ES)</t>
  </si>
  <si>
    <t>SL</t>
  </si>
  <si>
    <t>1-2-3-1</t>
  </si>
  <si>
    <r>
      <t>Darželio statyba Jurgaičių ir Juodžemių g. (</t>
    </r>
    <r>
      <rPr>
        <b/>
        <sz val="8"/>
        <rFont val="Arial"/>
        <family val="2"/>
        <charset val="186"/>
      </rPr>
      <t>Mazūriškės</t>
    </r>
    <r>
      <rPr>
        <sz val="8"/>
        <rFont val="Arial"/>
        <family val="2"/>
        <charset val="186"/>
      </rPr>
      <t xml:space="preserve">) sankryžoje esančiame laisvame sklype </t>
    </r>
  </si>
  <si>
    <t>1.3.3.4.</t>
  </si>
  <si>
    <t>PV</t>
  </si>
  <si>
    <t>Įgyvendinta rangos darbų, proc.</t>
  </si>
  <si>
    <t>Sendvario</t>
  </si>
  <si>
    <t>1-2-3-2</t>
  </si>
  <si>
    <r>
      <rPr>
        <b/>
        <sz val="8"/>
        <rFont val="Arial"/>
        <family val="2"/>
        <charset val="186"/>
      </rPr>
      <t>Ketvergių</t>
    </r>
    <r>
      <rPr>
        <sz val="8"/>
        <rFont val="Arial"/>
        <family val="2"/>
        <charset val="186"/>
      </rPr>
      <t xml:space="preserve"> </t>
    </r>
    <r>
      <rPr>
        <b/>
        <sz val="8"/>
        <rFont val="Arial"/>
        <family val="2"/>
        <charset val="186"/>
      </rPr>
      <t>pagrindinės mokyklos priestato</t>
    </r>
    <r>
      <rPr>
        <sz val="8"/>
        <rFont val="Arial"/>
        <family val="2"/>
        <charset val="186"/>
      </rPr>
      <t xml:space="preserve"> projektavimas ir statyba</t>
    </r>
  </si>
  <si>
    <t>R. Sarulienė</t>
  </si>
  <si>
    <t>Dovilų</t>
  </si>
  <si>
    <t>1-2-3-3</t>
  </si>
  <si>
    <r>
      <t>Darželio</t>
    </r>
    <r>
      <rPr>
        <b/>
        <sz val="8"/>
        <rFont val="Arial"/>
        <family val="2"/>
        <charset val="186"/>
      </rPr>
      <t xml:space="preserve"> Dercekliuose</t>
    </r>
    <r>
      <rPr>
        <sz val="8"/>
        <rFont val="Arial"/>
        <family val="2"/>
        <charset val="186"/>
      </rPr>
      <t xml:space="preserve"> projekto parengimas ir ranga</t>
    </r>
  </si>
  <si>
    <t>Priekulės</t>
  </si>
  <si>
    <t>1-2-3-4</t>
  </si>
  <si>
    <r>
      <rPr>
        <sz val="8"/>
        <color rgb="FF000000"/>
        <rFont val="Arial"/>
        <family val="2"/>
        <charset val="186"/>
      </rPr>
      <t xml:space="preserve">Lopšelio-darželio statyba </t>
    </r>
    <r>
      <rPr>
        <b/>
        <sz val="8"/>
        <color rgb="FF000000"/>
        <rFont val="Arial"/>
        <family val="2"/>
        <charset val="186"/>
      </rPr>
      <t>Karaliaus Mindaugo g. 36, Gargžduose</t>
    </r>
  </si>
  <si>
    <t>1-2-3-5</t>
  </si>
  <si>
    <r>
      <rPr>
        <b/>
        <sz val="8"/>
        <rFont val="Arial"/>
        <family val="2"/>
        <charset val="186"/>
      </rPr>
      <t>Veiviržėnų Jurgio Šaulio gimnazijos</t>
    </r>
    <r>
      <rPr>
        <sz val="8"/>
        <rFont val="Arial"/>
        <family val="2"/>
        <charset val="186"/>
      </rPr>
      <t xml:space="preserve"> pastato modernizavimo projektavimas</t>
    </r>
  </si>
  <si>
    <t>1.3.1.8.</t>
  </si>
  <si>
    <t>PP</t>
  </si>
  <si>
    <t>Parengtas techninis projektas, vnt.</t>
  </si>
  <si>
    <t>Veiviržėnų</t>
  </si>
  <si>
    <t>1-2-3-6</t>
  </si>
  <si>
    <r>
      <rPr>
        <b/>
        <sz val="8"/>
        <rFont val="Arial"/>
        <family val="2"/>
        <charset val="186"/>
      </rPr>
      <t>Sendvario „Saulės“ mokyklos</t>
    </r>
    <r>
      <rPr>
        <sz val="8"/>
        <rFont val="Arial"/>
        <family val="2"/>
        <charset val="186"/>
      </rPr>
      <t xml:space="preserve"> Agilos g. 12, Trušelių k., mokslo paskirties </t>
    </r>
    <r>
      <rPr>
        <b/>
        <sz val="8"/>
        <rFont val="Arial"/>
        <family val="2"/>
        <charset val="186"/>
      </rPr>
      <t>pastato</t>
    </r>
    <r>
      <rPr>
        <sz val="8"/>
        <rFont val="Arial"/>
        <family val="2"/>
        <charset val="186"/>
      </rPr>
      <t xml:space="preserve"> (</t>
    </r>
    <r>
      <rPr>
        <b/>
        <sz val="8"/>
        <rFont val="Arial"/>
        <family val="2"/>
        <charset val="186"/>
      </rPr>
      <t>priestato</t>
    </r>
    <r>
      <rPr>
        <sz val="8"/>
        <rFont val="Arial"/>
        <family val="2"/>
        <charset val="186"/>
      </rPr>
      <t>) projektavimas ir statyba</t>
    </r>
  </si>
  <si>
    <t>1.3.3.26.</t>
  </si>
  <si>
    <t>Atlikti projektavimo darbai, proc.</t>
  </si>
  <si>
    <t>1-2-3-7</t>
  </si>
  <si>
    <r>
      <rPr>
        <b/>
        <sz val="8"/>
        <color rgb="FF000000"/>
        <rFont val="Arial"/>
        <family val="2"/>
        <charset val="186"/>
      </rPr>
      <t>Daugiafunkcio centro Sendvario seniūnijoje</t>
    </r>
    <r>
      <rPr>
        <sz val="8"/>
        <color rgb="FF000000"/>
        <rFont val="Arial"/>
        <family val="2"/>
        <charset val="186"/>
      </rPr>
      <t xml:space="preserve"> statyba viešos ir privačios partnerystės būdu</t>
    </r>
    <r>
      <rPr>
        <sz val="8"/>
        <color rgb="FF00B050"/>
        <rFont val="Arial"/>
        <family val="2"/>
        <charset val="186"/>
      </rPr>
      <t xml:space="preserve"> (</t>
    </r>
    <r>
      <rPr>
        <sz val="8"/>
        <color rgb="FF000000"/>
        <rFont val="Arial"/>
        <family val="2"/>
        <charset val="186"/>
      </rPr>
      <t>ir komunalinės išlaidos)</t>
    </r>
  </si>
  <si>
    <t>1.4.4.41.</t>
  </si>
  <si>
    <t xml:space="preserve">Sumokėta įmoka, vnt. </t>
  </si>
  <si>
    <t>CB, V. Mineikienė</t>
  </si>
  <si>
    <t>1-2-3-8</t>
  </si>
  <si>
    <r>
      <t xml:space="preserve">Sendvario "Saulės" mokyklos </t>
    </r>
    <r>
      <rPr>
        <b/>
        <sz val="8"/>
        <rFont val="Arial"/>
        <family val="2"/>
        <charset val="186"/>
      </rPr>
      <t>įveiklinimas</t>
    </r>
  </si>
  <si>
    <t>1.4.4.42.</t>
  </si>
  <si>
    <t>34, 10</t>
  </si>
  <si>
    <t>1-2-3-9</t>
  </si>
  <si>
    <r>
      <rPr>
        <sz val="8"/>
        <color rgb="FF000000"/>
        <rFont val="Arial"/>
        <family val="2"/>
        <charset val="186"/>
      </rPr>
      <t xml:space="preserve">Gargždų </t>
    </r>
    <r>
      <rPr>
        <b/>
        <sz val="8"/>
        <color rgb="FF000000"/>
        <rFont val="Arial"/>
        <family val="2"/>
        <charset val="186"/>
      </rPr>
      <t>lopšelio-darželio "Saulutė"</t>
    </r>
    <r>
      <rPr>
        <sz val="8"/>
        <color rgb="FF000000"/>
        <rFont val="Arial"/>
        <family val="2"/>
        <charset val="186"/>
      </rPr>
      <t xml:space="preserve"> plėtra</t>
    </r>
  </si>
  <si>
    <t>1-2-3-10</t>
  </si>
  <si>
    <t>Agluonėnų darželio pastato sutvarkymas</t>
  </si>
  <si>
    <t>1.3.1.9.</t>
  </si>
  <si>
    <t>Agluonėnų</t>
  </si>
  <si>
    <t>1-2-3-11</t>
  </si>
  <si>
    <t>Vėžaičių darželio projektavimas ir sutvarkymas</t>
  </si>
  <si>
    <t>1.3.1.10.</t>
  </si>
  <si>
    <t>A. Ronkus</t>
  </si>
  <si>
    <t>Vėžaičių</t>
  </si>
  <si>
    <t>Kretingalės</t>
  </si>
  <si>
    <t>1-2-3-15</t>
  </si>
  <si>
    <t>Plikių I. Labutytės mokyklos atnaujinimas</t>
  </si>
  <si>
    <t>1.3.1.14.</t>
  </si>
  <si>
    <t>1.3.1.17.</t>
  </si>
  <si>
    <t xml:space="preserve">Parengtas paskirties pakeitimo projektas, vnt. </t>
  </si>
  <si>
    <t>1-2-3-20</t>
  </si>
  <si>
    <t>Pastato – bendrabučio, esančio Kvietinių g. 30, Gargždų mieste, paskirties pakeitimas</t>
  </si>
  <si>
    <t>1-2-3-21</t>
  </si>
  <si>
    <r>
      <rPr>
        <b/>
        <sz val="8"/>
        <rFont val="Arial"/>
        <family val="2"/>
        <charset val="186"/>
      </rPr>
      <t>Gargždų "Vaivorykštės" gimnazijos sporto aikštyno</t>
    </r>
    <r>
      <rPr>
        <sz val="8"/>
        <rFont val="Arial"/>
        <family val="2"/>
        <charset val="186"/>
      </rPr>
      <t xml:space="preserve"> rekonstrukcija</t>
    </r>
  </si>
  <si>
    <t>Įgyvendintas projektas, vnt.</t>
  </si>
  <si>
    <t>1-2-3-22</t>
  </si>
  <si>
    <r>
      <rPr>
        <b/>
        <sz val="8"/>
        <rFont val="Arial"/>
        <family val="2"/>
        <charset val="186"/>
      </rPr>
      <t>Gargždų "Kranto" progimnazijos</t>
    </r>
    <r>
      <rPr>
        <sz val="8"/>
        <rFont val="Arial"/>
        <family val="2"/>
        <charset val="186"/>
      </rPr>
      <t xml:space="preserve"> teritorijos sutvarkymo (apimant ir sporto sektorių) projektavimas ir įrengimas</t>
    </r>
  </si>
  <si>
    <t>1.1.5.3.</t>
  </si>
  <si>
    <t>ATPS, A. Grigaitytė-Dromantienė</t>
  </si>
  <si>
    <t>parengta techninė specifikacija, įvykęs paslaugos pirkimas</t>
  </si>
  <si>
    <t>1-2-3-23</t>
  </si>
  <si>
    <t>Mokyklų sporto aikštynų tvarkymas</t>
  </si>
  <si>
    <t>1.3.1.7</t>
  </si>
  <si>
    <t>Dovilų mokyklos stadionas</t>
  </si>
  <si>
    <t>Vėžaičių stadionas</t>
  </si>
  <si>
    <t>Plikių mokyklos stadionas</t>
  </si>
  <si>
    <t>Endriejavo mokyklos stadionas</t>
  </si>
  <si>
    <t>Endriejavo</t>
  </si>
  <si>
    <t>Iš viso:</t>
  </si>
  <si>
    <t>VLK</t>
  </si>
  <si>
    <t>Kt</t>
  </si>
  <si>
    <t>2-1 Uždavinys: Kurti verslui bei investicijoms palankią aplinką Klaipėdos rajone</t>
  </si>
  <si>
    <t>2-1-1</t>
  </si>
  <si>
    <t>Klaipėdos  rajono savivaldybės smulkiojo verslo plėtros skatinimo programos įgyvendinimas</t>
  </si>
  <si>
    <t>2.1.2.1.</t>
  </si>
  <si>
    <t xml:space="preserve">SPPVS, M. Virbauskas </t>
  </si>
  <si>
    <t>Pareiškėjų skaičius, vnt. 
Verslumo renginiai, vnt.</t>
  </si>
  <si>
    <t>30
1</t>
  </si>
  <si>
    <t>2-1-2</t>
  </si>
  <si>
    <t>Klaipėdos rajono žemės ūkio ir kaimo plėtros rėmimo programa</t>
  </si>
  <si>
    <t>2.1.2.2.</t>
  </si>
  <si>
    <t>ŽŪS, A. Bazilienė</t>
  </si>
  <si>
    <t>Išnagrinėta ūkininkų prašymų dėl paramos skyrimo, vnt.</t>
  </si>
  <si>
    <t>2-2 Uždavinys: Gerinti žemdirbystės sąlygas bei skatinti kaimo plėtrą Klaipėdos rajone</t>
  </si>
  <si>
    <t>2-2-1</t>
  </si>
  <si>
    <t>Rekonstruoti bei remontuoti melioracijos statinius, polderines sistemas</t>
  </si>
  <si>
    <t>2-2-1-1</t>
  </si>
  <si>
    <t>Magistralinių melioracijos griovių/sureguliuotų upelių, valstybei priklausančių užtvankų tvarkymas (šienavimas, krūmų kirtimas, drenažo žiočių atnaujinimas, griovių dugno valymas) drenažo avarinis remontas, pralaidų remontas ir melioracijos projektų rengimas, rangos darbų techninė priežiūra, projektų ekspertizės</t>
  </si>
  <si>
    <t>2.2.1.8.</t>
  </si>
  <si>
    <t>VBD(T)</t>
  </si>
  <si>
    <r>
      <rPr>
        <sz val="8"/>
        <color rgb="FF000000"/>
        <rFont val="Arial"/>
        <family val="2"/>
        <charset val="186"/>
      </rPr>
      <t>Suremontuoti/sutvarkyti melioracijos grioviai</t>
    </r>
    <r>
      <rPr>
        <sz val="8"/>
        <color rgb="FFFF0000"/>
        <rFont val="Arial"/>
        <family val="2"/>
        <charset val="186"/>
      </rPr>
      <t>,</t>
    </r>
    <r>
      <rPr>
        <sz val="8"/>
        <color rgb="FF000000"/>
        <rFont val="Arial"/>
        <family val="2"/>
        <charset val="186"/>
      </rPr>
      <t xml:space="preserve"> km</t>
    </r>
  </si>
  <si>
    <t>2-2-1-1-2</t>
  </si>
  <si>
    <t>Klaipėdos r.sav., Priekulės sen, Pjaulių k. esančios siurblinės vamzdyno rekonstrukcija (projektavimas, ekspertizė, projekto ir darbų techninė priežiūra, rangos darbai)</t>
  </si>
  <si>
    <t>2.2.1.8</t>
  </si>
  <si>
    <t>ŽŪS, R. Nekrošienė</t>
  </si>
  <si>
    <t>Parengtas techninis projektas, vnt., atlikti darbai</t>
  </si>
  <si>
    <t>2-2-1-1-3</t>
  </si>
  <si>
    <t>Hidrotechninio įrenginio, esančio Dovilų sen.,  Kulių k., rekonstrukcijos projekto, ekspertizės, sąmatos ir kt. parengimas</t>
  </si>
  <si>
    <t>2.2.1.8.27.</t>
  </si>
  <si>
    <t>Dovilų seniūnija</t>
  </si>
  <si>
    <t xml:space="preserve">Parengtas techninis projektas, vnt., </t>
  </si>
  <si>
    <t>2-2-1-1-10</t>
  </si>
  <si>
    <t>Melioracijos griovio up. Ringelis esančio Klaipėdos r. sav, Sendvario sen., rekonstrukcijos rangos darbai, projekto ir rangos darbų techninė priežiūra</t>
  </si>
  <si>
    <t>ŽŪS, L. Kundrotas</t>
  </si>
  <si>
    <t>Suremontuota melioracijos griovio dalis, km</t>
  </si>
  <si>
    <t>2-2-1-1-11</t>
  </si>
  <si>
    <t>Melioracijos griovio up. Žvejonė esančio Klaipėdos r. sav, Sendvario sen., rekonstrukcijos rangos darbai, projekto ir rangos darbų techninė priežiūra</t>
  </si>
  <si>
    <t>2-2-1-1-13</t>
  </si>
  <si>
    <t xml:space="preserve">Melioracijos statinių avarinių gedimų remonto darbai </t>
  </si>
  <si>
    <t>ŽŪS, J. Mykolaitis</t>
  </si>
  <si>
    <t xml:space="preserve">Suremontuotų objektų skaičius, vnt. </t>
  </si>
  <si>
    <t>2-2-1-1-14</t>
  </si>
  <si>
    <t>Hidrotechninių statinių: Vėžaičių, Greičiūnų, Eketės, užtvankų ir tiltų techninės apžiūros paslaugos</t>
  </si>
  <si>
    <t>Objektų, kurių įvertinta būklė, skaičius, vnt.</t>
  </si>
  <si>
    <t>2-2-1-1-15</t>
  </si>
  <si>
    <t xml:space="preserve">Melioracijos statinių ir valstybei priklausančių užvankų  esančių Klaipėdos rajone, remonto ir priežiūros darbai </t>
  </si>
  <si>
    <t xml:space="preserve">Suremontuoti/prižiūrėti melioracijos grioviai, km </t>
  </si>
  <si>
    <t>2-2-1-1-16</t>
  </si>
  <si>
    <t>Klaipėdos r. sav, esančių melioracijos statinių remonto techninių darbo projektų, projektinių pasiūlymų, taisyklių parengimas</t>
  </si>
  <si>
    <t>2-2-1-1-17</t>
  </si>
  <si>
    <t>Jokšų polderio pylimo (nuo kelio  Nr. 2206 iki kelio Nr. 2241) remonto darbai (2 dalis)</t>
  </si>
  <si>
    <t>Suremontuota Jokšų polderio dalis, km</t>
  </si>
  <si>
    <t>2-2-1-1-18</t>
  </si>
  <si>
    <t>Melioracijos griovio A-2 ir kanalizuoto melioracijos griovio vamzdyno R-(A-2), esančių Klaipėdos r. sav., Veiviržėnų sen., remonto techninio darbo projekto parengimas, remonto darbai ir darbų techninė priežiūra</t>
  </si>
  <si>
    <t>Įgyvendintas remonto techninis projektas, atlikta darbų, proc.</t>
  </si>
  <si>
    <t>2-2-1-1-19</t>
  </si>
  <si>
    <t xml:space="preserve">Melioracijos griovių (NGR-3, NG-1, NGR Nr.1, GR1-4, GR1-2, GR-1, NS-1, NS-1-3 ir griovio/up. N Smeltaitė) esančių Klaipėdos r. sav., Dauparų-Kvietinių sen., remonto techninio darbo projekto parengimas ir įgyvendinimas </t>
  </si>
  <si>
    <t>ŽŪS, R. Danielkus</t>
  </si>
  <si>
    <t xml:space="preserve">Parengtas  remonto techninis darbo projektas, suremontuoti melioracijos grioviai, km
</t>
  </si>
  <si>
    <t xml:space="preserve">Dauparų-Kvietinių </t>
  </si>
  <si>
    <t>2.2.1.8.26.</t>
  </si>
  <si>
    <t>2-2-1-1-20</t>
  </si>
  <si>
    <t>Melioracijos griovio G-3 (Gargždupis), esančio Klaipėdos r.sav, Dauparų-Kvietinių sen, remonto darbai ir techninė priežiūra</t>
  </si>
  <si>
    <t>2-2-1-1-21</t>
  </si>
  <si>
    <t>Melioracijos griovių V-1 (Vinkurė), V-1-3 (Vinkurė), esančių Klaipėdos r.sav, Endriejavo sen, remonto darbai ir  rangos darbų techninė priežiūra</t>
  </si>
  <si>
    <t>Suremontuoti melioracijos grioviai, km</t>
  </si>
  <si>
    <t>2-2-1-1-22</t>
  </si>
  <si>
    <t>Melioracijos griovių Gr. Nr. 1 (Galupis), Gr. Nr. 1-1, esančių Klaipėdos r.sav, Dauparų-Kvietinių sen, remonto darbai ir techninė priežiūra</t>
  </si>
  <si>
    <t>2-2-1-2</t>
  </si>
  <si>
    <t>Jokšų polderio melioracijos griovių J-1, J-1-1, J-1-1-2, J-1-4, J-3 ir juose esančių statinių bei Pjaulių siurblinės rekonstrukcija</t>
  </si>
  <si>
    <t>2.2.1.28.</t>
  </si>
  <si>
    <t>Rekonstruotos drenažo žiotys, vnt.</t>
  </si>
  <si>
    <t>2-2-1-3</t>
  </si>
  <si>
    <t>Plikių ir Dauparų kadastro vietovių dalies melioracijos statinių rekonstravimo darbai</t>
  </si>
  <si>
    <t>2.2.1.29</t>
  </si>
  <si>
    <t>Rekonstruoti grioviai, km</t>
  </si>
  <si>
    <t>Kt.</t>
  </si>
  <si>
    <t>2-2-2</t>
  </si>
  <si>
    <t>Vykdyti einamuosius melioracijos darbus</t>
  </si>
  <si>
    <t>2-2-2-1</t>
  </si>
  <si>
    <t>Perteklinio vandens pašalinimo darbai (siurblinių aptarnaujančio personalo išlaikymas, elektra ir einamasis remontas). Polderių griovių ir pylimų priežiūros ir remonto darbai</t>
  </si>
  <si>
    <t>2.2.2.1.</t>
  </si>
  <si>
    <t>Panaudotos lėšos, proc.</t>
  </si>
  <si>
    <t>Priekulės, Dauparų-Kvietinių</t>
  </si>
  <si>
    <t>2-2-2-1-1</t>
  </si>
  <si>
    <t xml:space="preserve">Valstybei nuosavybės teise priklausančių melioracijos pylimų bei polderiuose esančių melioracijos statinių priežiūros ir remonto darbai </t>
  </si>
  <si>
    <t>Suremontuoti/prižiūrėti melioracijos statiniai, km</t>
  </si>
  <si>
    <t>2-2-2-1-2</t>
  </si>
  <si>
    <t>Perteklinio vandens pašalinimo paslaugos Klaipėdos rajono polderinėse sausinimo sistemose (polderių priežiūra) (7 siurblinių priežiūra ir elektros išlaidos)</t>
  </si>
  <si>
    <t>Prižiūrimos siurblinės, vnt.</t>
  </si>
  <si>
    <t>2-2-2-1-3</t>
  </si>
  <si>
    <t>Klaipėdos r. sav, polderiuose esančių melioracijos statinių remonto techninių darbo projektų, projektinių pasiūlymų, polderių naudojimo taisyklių parengimas</t>
  </si>
  <si>
    <t>2-2-2-1-4</t>
  </si>
  <si>
    <t>Jokšų polderio pylimo (nuo kelio  Nr. 2206 iki kelio Nr. 2241) remonto darbai (1 dalis)</t>
  </si>
  <si>
    <t>2-2-2-1-5</t>
  </si>
  <si>
    <t>Jokšų polderio pylimo (nuo kelio  Nr. 2206 iki kelio Nr. 2241) remonto techninė priežiūra</t>
  </si>
  <si>
    <t xml:space="preserve">Suteikta techninės priežiūros paslaugų, vnt. </t>
  </si>
  <si>
    <t>2-2-2-1-6</t>
  </si>
  <si>
    <t>Smulkūs remonto darbai polderių siurblinėse</t>
  </si>
  <si>
    <t>2.2.2.1</t>
  </si>
  <si>
    <t>2-2-2-2</t>
  </si>
  <si>
    <t>Kadastro vedimas</t>
  </si>
  <si>
    <t>2.2.2.3.</t>
  </si>
  <si>
    <t xml:space="preserve">Melioruotos žemės ir melioracijos statinių kompiuterinės apskaitos paslaugų įgyvendinimo sutarties vykdymo priežiūra, vnt. </t>
  </si>
  <si>
    <t>2-3 Uždavinys: Didinti ir gerinti turizmo paslaugų teikimą</t>
  </si>
  <si>
    <t>15.1</t>
  </si>
  <si>
    <t>2-3-3</t>
  </si>
  <si>
    <t>Turizmo infrastruktūros ir rinkodaros plėtra</t>
  </si>
  <si>
    <t>2-3-3-1</t>
  </si>
  <si>
    <t>Stepono Dariaus memorialinio parko pritaikymas turizmo ir aviacinio sporto reikmėms</t>
  </si>
  <si>
    <t>2.3.1.5.</t>
  </si>
  <si>
    <t>Atlikti rangos darbai, proc.</t>
  </si>
  <si>
    <t>Judrėnų</t>
  </si>
  <si>
    <t>2-3-3-3</t>
  </si>
  <si>
    <t>Dalyvavimas didinant regiono pasiekiamumą oro transportu</t>
  </si>
  <si>
    <t>10</t>
  </si>
  <si>
    <t>2.3.2.11.</t>
  </si>
  <si>
    <t>SPPVS, M. Šatkus</t>
  </si>
  <si>
    <t>Pervestos lėšos, proc.</t>
  </si>
  <si>
    <t>2-3-3-6</t>
  </si>
  <si>
    <t>Vandens maršrutų tinklo plėtra Latvijoje ir Lietuvoje, toliau plečiant tarpvalstybinio turizmo produktą www.riverways.eu</t>
  </si>
  <si>
    <t>19</t>
  </si>
  <si>
    <t>2.3.3.26</t>
  </si>
  <si>
    <t>SPPVS, R. Grubliauskytė</t>
  </si>
  <si>
    <t xml:space="preserve">Vykdyta projekto priežiūra, vnt. </t>
  </si>
  <si>
    <t>Agluonėnų seniūnija</t>
  </si>
  <si>
    <t xml:space="preserve">Susigrąžintos ES lėšos, proc. </t>
  </si>
  <si>
    <t>2-3-3-7</t>
  </si>
  <si>
    <t>Drevernos turistinės vietovės plėtra</t>
  </si>
  <si>
    <t>2.3.1.12.</t>
  </si>
  <si>
    <t>SKPS, F. Žemgulys</t>
  </si>
  <si>
    <t>Atlikti šliuzo rangos darbai, proc.</t>
  </si>
  <si>
    <t>2-3-3-9</t>
  </si>
  <si>
    <t>Gargždų - Dovilų karjerų teritorijos plėtra ir vystymas bei pritaikymas turizmo ir rekreacijos reikmėms</t>
  </si>
  <si>
    <t>Techninio projekto parengimas ir įgyvendinimas</t>
  </si>
  <si>
    <t>2.3.3.29.</t>
  </si>
  <si>
    <t>ATPS, J. Tamošauskienė</t>
  </si>
  <si>
    <t>Elektros įvadas ir aikštelė</t>
  </si>
  <si>
    <t>SKPS, A. Vaitkė</t>
  </si>
  <si>
    <t>Įvestas elektros įvadas, vnt.</t>
  </si>
  <si>
    <t>2-3-3-10</t>
  </si>
  <si>
    <t>Projektas "MariEx - Naujų jūrinio turizmo keliautojų patirčių sukūrimas krante"</t>
  </si>
  <si>
    <t>2.3.2.30.</t>
  </si>
  <si>
    <t>Atlikti Drevernos mokyklos remonto darbai, proc.</t>
  </si>
  <si>
    <t>Slipo techninio projekto parengimas Vilhelmo kanale, vnt. 
Atlikti rangos darbai, proc.</t>
  </si>
  <si>
    <t>1
50</t>
  </si>
  <si>
    <t>8.6</t>
  </si>
  <si>
    <t>2-3-3-13</t>
  </si>
  <si>
    <t>Projekto "Laivo formos ekspoziciniai stendai - mobili žvejų promenada" įgyvendinimas</t>
  </si>
  <si>
    <t>2.3.1.14.</t>
  </si>
  <si>
    <t>Priekulės seniūnija</t>
  </si>
  <si>
    <t>2-3-3-15</t>
  </si>
  <si>
    <t>Turizmo plėtros plano priemonių įgyvendinimas (Karklės uostelio galimybių studija)</t>
  </si>
  <si>
    <t>2.3.2.33.</t>
  </si>
  <si>
    <t xml:space="preserve">SB </t>
  </si>
  <si>
    <t>Parengta galimybių studija, vnt.</t>
  </si>
  <si>
    <t xml:space="preserve">Kretingalės </t>
  </si>
  <si>
    <t>2-4 Uždavinys: Skatinti rajono urbanistinę plėtrą organizuojant teritorijų planavimo planų ir projektų rengimą</t>
  </si>
  <si>
    <t>2-4-1</t>
  </si>
  <si>
    <t>Rengti visuomenės poreikius tenkinančius teritorijų planavimo (detaliuosius planus) bei žemėtvarkos (žemės valdų projektus) dokumentus</t>
  </si>
  <si>
    <t>2-4-1-1</t>
  </si>
  <si>
    <t xml:space="preserve">Detaliųjų planų rengimas
</t>
  </si>
  <si>
    <t>2.4.1.21.</t>
  </si>
  <si>
    <t>ATPS, A.Grigaitytė-Dromantienė</t>
  </si>
  <si>
    <t>Parengtas detalusis planas</t>
  </si>
  <si>
    <t>2-4-1-2</t>
  </si>
  <si>
    <t>Žemės valdų projektų rengimas</t>
  </si>
  <si>
    <t>2.4.1.26.</t>
  </si>
  <si>
    <t>ŽGGS, G. Jurjonė</t>
  </si>
  <si>
    <t>Parengti žemės valdų projektai, vnt.</t>
  </si>
  <si>
    <t>2-4-2</t>
  </si>
  <si>
    <t>Rengti Klaipėdos rajono miestų ir miestelių bendruosius planus bei inžinerinės infrastruktūros ir susisiekimo sistemų specialiuosius planus</t>
  </si>
  <si>
    <t>2-4-2-1</t>
  </si>
  <si>
    <t>Bendrųjų planų ir bendrųjų planų monitoringų rengimas</t>
  </si>
  <si>
    <t>2.4.1.45</t>
  </si>
  <si>
    <t>Ž</t>
  </si>
  <si>
    <t>2-4-2-1-2</t>
  </si>
  <si>
    <t>Klaipėdos rajono bendrojo plano korektūros rengimas, monitoringas</t>
  </si>
  <si>
    <t>ATPS, K. Litvinas</t>
  </si>
  <si>
    <t>Nupirkta monitoringo rengimo paslauga</t>
  </si>
  <si>
    <t>2-4-2-1-3</t>
  </si>
  <si>
    <t>Drevernos - Svencelės apylinkių urbanizuotos teritorijos bendrojo plano rengimas su urbanistine idėja</t>
  </si>
  <si>
    <t>ATPS, 
J. Tamošauskienė</t>
  </si>
  <si>
    <t xml:space="preserve">Bendrojo plano parengimo lygis, proc. </t>
  </si>
  <si>
    <t>2-4-2-1-4</t>
  </si>
  <si>
    <t xml:space="preserve">Slengių, Mazūriškių ir kitų gyvenamųjų priemiestinių teritorijų bendrojo plano rengimas. </t>
  </si>
  <si>
    <t>2-4-2-1-5</t>
  </si>
  <si>
    <t>Dovilų miestelio bendrojo plano koregavimas</t>
  </si>
  <si>
    <t>2-4-2-1-6</t>
  </si>
  <si>
    <t>Gargždų miesto bendrojo plano keitimo parengimas</t>
  </si>
  <si>
    <t>2-4-2-2</t>
  </si>
  <si>
    <t>Specialiųjų planų ir žemės paėmimo visuomenės poreikiams projektų rengimas ir įgyvendinimas</t>
  </si>
  <si>
    <t>2, 36</t>
  </si>
  <si>
    <t>2.4.1.37</t>
  </si>
  <si>
    <t>2-4-2-2-3</t>
  </si>
  <si>
    <t xml:space="preserve">Vietinės reikšmės kelių Sendvario sen. Danės g. žemės paėmimo visuomenės  poreikiams projektas </t>
  </si>
  <si>
    <t xml:space="preserve">TVS, A. Indzelė </t>
  </si>
  <si>
    <t>Patvirtinto projekto įgyvendinimas, atsiskaitoma su žemė sklypų savininkais, proc.</t>
  </si>
  <si>
    <t>2-4-2-2-4</t>
  </si>
  <si>
    <t>Vietinės reikšmės kelių Priekulės sen. Pievų g. ir S. Šrėderio g. žemės paėmimo visuomenės  poreikiams projektas</t>
  </si>
  <si>
    <t>2-4-2-2-5</t>
  </si>
  <si>
    <t>Vietinės reikšmės kelio Maciuičiai-Ežaičiai specialiojo plano parengimas. Žemės paėmimo visuomenės poreikiams projektas</t>
  </si>
  <si>
    <t>Patvirtinto projekto įgyvendinimas, proc.</t>
  </si>
  <si>
    <t>2-4-2-2-7</t>
  </si>
  <si>
    <t>Žemės paėmimo visuomenės poreikiams projektų parengimo paslaugos pirkimas ir įgyvendinimas</t>
  </si>
  <si>
    <t>ŽGGIS, L. Salickienė</t>
  </si>
  <si>
    <t>2-4-3</t>
  </si>
  <si>
    <t>Rengti projektus, projektinius pasiūlymus, studijas, mokslinius darbus viešųjų erdvių ir teritorijų vystymui</t>
  </si>
  <si>
    <t>2-4-3-1</t>
  </si>
  <si>
    <t xml:space="preserve">Gargždų miesto ir rajono architektūrinį ir urbanistinį įvaizdį gerinančių priemonių planų rengimas ir įgyvendinimas
</t>
  </si>
  <si>
    <t>2.4.5.1</t>
  </si>
  <si>
    <t>2-4-3-1-1</t>
  </si>
  <si>
    <t>Gargždų miesto centrinės aikštės pertvarkymo projekto parengimas ir įgyvendinimas</t>
  </si>
  <si>
    <t>Parengti projektiniai pasiūlymai, vnt</t>
  </si>
  <si>
    <t>2-4-3-1-2</t>
  </si>
  <si>
    <t xml:space="preserve">Priekulės miesto dviračių transporto infrastruktūros plėtros plano parengimas </t>
  </si>
  <si>
    <t>9.1</t>
  </si>
  <si>
    <t>IPS, Š. Čičinis</t>
  </si>
  <si>
    <t>Parengtas projektas, vnt.</t>
  </si>
  <si>
    <t>2-4-3-1-4</t>
  </si>
  <si>
    <t>Kretingalės viešosios erdvės projektavimas ir įrengimas</t>
  </si>
  <si>
    <t>2.4.5.1.31.</t>
  </si>
  <si>
    <t xml:space="preserve">Kretingalės seniūnija, </t>
  </si>
  <si>
    <t>2-4-3-1-5</t>
  </si>
  <si>
    <t>Jakų parko sporto ir laisvalaikio erdvės projektavimas</t>
  </si>
  <si>
    <t>2.4.5.1.</t>
  </si>
  <si>
    <t xml:space="preserve"> Įvykdytas pirkimas, parengtas projektas, vnt</t>
  </si>
  <si>
    <t>2-4-3-1-6</t>
  </si>
  <si>
    <t>Kretingalės miestelio centro viešųjų erdvių sutvarkymas (projektas)</t>
  </si>
  <si>
    <t>ATPS, A, Grigaitytė-Dromantienė</t>
  </si>
  <si>
    <t>parengta pirkimo techninė specifikacija,Įvykdytas pirkimas, vnt</t>
  </si>
  <si>
    <t>2-4-3-2</t>
  </si>
  <si>
    <t>Gargždų miesto centrinės dalies detaliojo plano sprendinių įgyvendinimo programa</t>
  </si>
  <si>
    <t>2.4.1.46</t>
  </si>
  <si>
    <t xml:space="preserve">Įsigyti garažai, vnt. </t>
  </si>
  <si>
    <t>IPS, V. Valantinas</t>
  </si>
  <si>
    <t>Gargždų seniūnija</t>
  </si>
  <si>
    <t xml:space="preserve">Atsiskaityta už įvykdytą pirkimą, vnt. </t>
  </si>
  <si>
    <t>ES(Kt)</t>
  </si>
  <si>
    <t>3-1 Uždavinys: Mažinti aplinkos taršą, siekiant sukurti švarią ir saugią aplinką Klaipėdos rajone</t>
  </si>
  <si>
    <t>3-1-1</t>
  </si>
  <si>
    <t>Aplinkos apsaugos, taršos mažinimo priemonių įgyvendinimas</t>
  </si>
  <si>
    <t>KŪAS, K. Stulpinienė,
R. Bakaitienė</t>
  </si>
  <si>
    <t xml:space="preserve">Vykdytos aplinkos kokybės gerinimo ir apsaugos priemonės, vnt.
</t>
  </si>
  <si>
    <t>3-1-1-1</t>
  </si>
  <si>
    <t>Aplinkos apsaugos specialiosios programos įgyvendinimas</t>
  </si>
  <si>
    <t>18</t>
  </si>
  <si>
    <t>3.1.1.2.</t>
  </si>
  <si>
    <t>AA</t>
  </si>
  <si>
    <t>Vykdytos atliekų, kurių turėtojo nustatyti neįmanoma arba kuris nebeegzistuoja, tvarkymo priemonės, vnt.</t>
  </si>
  <si>
    <t>Vykdytos aplinkos monitoringo, prevencinės, aplinkos atkūrimo priemonės, vnt.</t>
  </si>
  <si>
    <t>LA</t>
  </si>
  <si>
    <t>3-1-1-2</t>
  </si>
  <si>
    <t>Gyvūnų augintinių gausos reguliavimo programa</t>
  </si>
  <si>
    <t>3.2.2.2.</t>
  </si>
  <si>
    <t>Augintinių skaičius, kuriems taikyta gyvūnų augintinių gausos reguliavimo programa</t>
  </si>
  <si>
    <t>3-1-1-3</t>
  </si>
  <si>
    <t>Buitinių nuotekų valymo įrenginių įrengimo kompensavimas</t>
  </si>
  <si>
    <t>3.1.1.83.</t>
  </si>
  <si>
    <t>Gautų paraiškų skaičius, vnt.</t>
  </si>
  <si>
    <t>3-1-1-4</t>
  </si>
  <si>
    <t>Klimatui atsparių nuotekų ir požeminio vandens tvarkymas taikant žiedinius metodus, kurie sumažina maistinių ir pavojingų medžiagų nutekėjimą (WaterMan)</t>
  </si>
  <si>
    <t>6.3.3.24.</t>
  </si>
  <si>
    <t xml:space="preserve">Administruotos projekto baigiamosios veiklos, vnt. </t>
  </si>
  <si>
    <t>23</t>
  </si>
  <si>
    <t>6.3.3.24.29.</t>
  </si>
  <si>
    <t>3-1-2</t>
  </si>
  <si>
    <t>Atliekų tvarkymo sistemos organizavimas, prevencija, projektinė veikla</t>
  </si>
  <si>
    <t>3-1-2-1</t>
  </si>
  <si>
    <t>Atliekų tvarkymo sistemos organizavimas</t>
  </si>
  <si>
    <t>18.1</t>
  </si>
  <si>
    <t>3.2.2.7.</t>
  </si>
  <si>
    <t>GŠV</t>
  </si>
  <si>
    <t>LGŠV</t>
  </si>
  <si>
    <t>3-1-2-2</t>
  </si>
  <si>
    <t>Kompensavimas VšĮ "Gargždų švara" (už bešeimininkių padangų išvežimą)</t>
  </si>
  <si>
    <t>3.2.3.11.36.</t>
  </si>
  <si>
    <t>KŪAS, R. Bakaitienė</t>
  </si>
  <si>
    <t>Išmokėta kompensacija už padangų išvežimą už 2025 m., proc.</t>
  </si>
  <si>
    <t>3-1-2-3</t>
  </si>
  <si>
    <t>Asbesto turinčių gaminių atliekų surinkimas apvažiavimo būdu, transportavimas ir saugus šalinimas</t>
  </si>
  <si>
    <t>3.2.2.18.</t>
  </si>
  <si>
    <t>KŪAS,
 K. Lūžaitė</t>
  </si>
  <si>
    <t>Surinkta asbesto gaminių, tonomis</t>
  </si>
  <si>
    <t>3-1-3</t>
  </si>
  <si>
    <t>Tvarkyti seniūnijų žaliuosius plotus, visuomenines erdves, vandens telkinius ir juos supančią aplinką</t>
  </si>
  <si>
    <t>3-1-3-1</t>
  </si>
  <si>
    <t>Gatvių ir žaliųjų plotų tvarkymas ir priežiūra Agluonėnų seniūnijoje</t>
  </si>
  <si>
    <t>3.2.3.1.25</t>
  </si>
  <si>
    <t>AGL, A. Žilienė</t>
  </si>
  <si>
    <t>Prižiūrėti žalieji plotai, ha</t>
  </si>
  <si>
    <t>3.2.3.1.26</t>
  </si>
  <si>
    <t>3-1-3-2</t>
  </si>
  <si>
    <t>Gatvių ir žaliųjų plotų tvarkymas ir priežiūra  Dauparų-Kvietinių seniūnijoje</t>
  </si>
  <si>
    <t>3.2.3.2.26.</t>
  </si>
  <si>
    <t>DPRKV, seniūnas</t>
  </si>
  <si>
    <t>Dauparų-Kvietinių</t>
  </si>
  <si>
    <t>3-1-3-3</t>
  </si>
  <si>
    <t>Gatvių ir žaliųjų plotų tvarkymas ir priežiūra Dovilų seniūnijoje</t>
  </si>
  <si>
    <t>3.2.3.3.27.</t>
  </si>
  <si>
    <t>DOV. N. Ilginienė</t>
  </si>
  <si>
    <t xml:space="preserve">Prižiūrėta karjerų teritorija, vnt. </t>
  </si>
  <si>
    <t>3-1-3-4</t>
  </si>
  <si>
    <t>Gatvių ir žaliųjų plotų tvarkymas ir priežiūra Endriejavo seniūnijoje</t>
  </si>
  <si>
    <t>3.2.3.4.28.</t>
  </si>
  <si>
    <t>ENDR,  I.Grikšienė</t>
  </si>
  <si>
    <t>Priežiūrėti žalieji plotai, ha</t>
  </si>
  <si>
    <t>3-1-3-5</t>
  </si>
  <si>
    <t>Gatvių ir žaliųjų plotų tvarkymas ir priežiūra Gargždų seniūnijoje</t>
  </si>
  <si>
    <t>3.2.3.5.29.</t>
  </si>
  <si>
    <t>Gargždų seniūnija, A.Srėbalienė, N. Verbaitė</t>
  </si>
  <si>
    <t>3-1-3-6</t>
  </si>
  <si>
    <t>Gatvių ir žaliųjų plotų tvarkymas ir priežiūra Judrėnų seniūnijoje</t>
  </si>
  <si>
    <t>3.2.3.6.30.</t>
  </si>
  <si>
    <t>JDR, Z. Siminauskas</t>
  </si>
  <si>
    <t>3-1-3-7</t>
  </si>
  <si>
    <t>Gatvių ir žaliųjų plotų tvarkymas ir priežiūra Kretingalės seniūnijoje</t>
  </si>
  <si>
    <t>3.2.3.7.31.</t>
  </si>
  <si>
    <t>KRTG, A. Monstavičienė</t>
  </si>
  <si>
    <t>3-1-3-8</t>
  </si>
  <si>
    <t>Gatvių ir žaliųjų plotų tvarkymas ir priežiūra Priekulės seniūnijoje</t>
  </si>
  <si>
    <t>3.2.3.8.32.</t>
  </si>
  <si>
    <t>PRKL, D. Bliūdžiuvienė, R. Narkienė</t>
  </si>
  <si>
    <t>3-1-3-9</t>
  </si>
  <si>
    <t>Gatvių ir žaliųjų plotų tvarkymas ir priežiūra Sendvario seniūnijoje</t>
  </si>
  <si>
    <t>3.2.3.9.33.</t>
  </si>
  <si>
    <t>SND, G. Girdvainis</t>
  </si>
  <si>
    <t>3-1-3-10</t>
  </si>
  <si>
    <t>Gatvių ir žaliųjų plotų tvarkymas ir priežiūra Veiviržėnų seniūnijoje</t>
  </si>
  <si>
    <t>3.2.3.10.34.</t>
  </si>
  <si>
    <t>VEIV, R. Justa</t>
  </si>
  <si>
    <t>3-1-3-11</t>
  </si>
  <si>
    <t>Gatvių ir žaliųjų plotų tvarkymas ir priežiūra Vėžaičių seniūnijoje</t>
  </si>
  <si>
    <t>3.2.3.11.35.</t>
  </si>
  <si>
    <t>VĖŽ, R. Bernotas</t>
  </si>
  <si>
    <r>
      <t xml:space="preserve">Iš viso gatvių ir žaliųjų plotų priežiūrai </t>
    </r>
    <r>
      <rPr>
        <b/>
        <sz val="8"/>
        <rFont val="Arial"/>
        <family val="2"/>
        <charset val="186"/>
      </rPr>
      <t>seniūnijose</t>
    </r>
  </si>
  <si>
    <t>3-1-3-12</t>
  </si>
  <si>
    <t>Tvarkyti ir plėsti veikiančias kapines</t>
  </si>
  <si>
    <t>6.3.4.9.</t>
  </si>
  <si>
    <t>CB, V. Burokaitė</t>
  </si>
  <si>
    <t>LS</t>
  </si>
  <si>
    <t>27</t>
  </si>
  <si>
    <t>Sendvario seniūnija</t>
  </si>
  <si>
    <t xml:space="preserve">Atlikti Sendvario kolumbariumo įrengimo darbai, proc. </t>
  </si>
  <si>
    <t>6.3.4.1.29.</t>
  </si>
  <si>
    <t xml:space="preserve">Vykdomi darbai pagal techninį darbo projektą, vnt.
</t>
  </si>
  <si>
    <t>24</t>
  </si>
  <si>
    <t>6.3.4.1.30.</t>
  </si>
  <si>
    <t>Judrėnų seniūnija</t>
  </si>
  <si>
    <t>Atliktas tvoros remontas, vnt</t>
  </si>
  <si>
    <t>26</t>
  </si>
  <si>
    <t>6.3.4.1.32.</t>
  </si>
  <si>
    <t>Kapinių drenažo sistemos tvarkymas, vnt.</t>
  </si>
  <si>
    <t>28</t>
  </si>
  <si>
    <t>6.3.4.1.34.</t>
  </si>
  <si>
    <t>Veiviržėnų seniūnija</t>
  </si>
  <si>
    <t>Kapinių plėtros techniam projektui parengti 2026 m., vnt.</t>
  </si>
  <si>
    <t>29</t>
  </si>
  <si>
    <t>6.3.4.1.35.</t>
  </si>
  <si>
    <t xml:space="preserve">Vėžaičių seniūnija </t>
  </si>
  <si>
    <t xml:space="preserve">Civilinių kapinių tvoros remontas, vnt. </t>
  </si>
  <si>
    <t>6.3.4.1.25.</t>
  </si>
  <si>
    <t>Vanagų kapinių tvoros ir vartų įrengimas, vnt.</t>
  </si>
  <si>
    <t>3-1-3-13</t>
  </si>
  <si>
    <t>Gerinti vandens telkinių būklę, tvarkyti juos supančią aplinką</t>
  </si>
  <si>
    <t>3.2.1.9.</t>
  </si>
  <si>
    <t>20</t>
  </si>
  <si>
    <t>Dauparų-Kvietinių seniūnija</t>
  </si>
  <si>
    <t xml:space="preserve">Apmokėtos sulaikytos lėšos, proc. </t>
  </si>
  <si>
    <t>4-1 Uždavinys: Didinti sveikatos priežiūros paslaugų prieinamumą ir sumažinti sveikatos netolygumus</t>
  </si>
  <si>
    <t>4-1-1</t>
  </si>
  <si>
    <t>Sumažinti gyventojų sveikatos netolygumus, susijusius su gyventojų elgsena</t>
  </si>
  <si>
    <t>7.5</t>
  </si>
  <si>
    <t>PL</t>
  </si>
  <si>
    <t>4-1-1-5</t>
  </si>
  <si>
    <t>Visuomenės psichikos sveikatos paslaugų prieinamumo bei ankstyvojo savižudybių atpažinimo ir kompleksinės pagalbos teikimo sistemos plėtojimas</t>
  </si>
  <si>
    <t>4.1.2.10.</t>
  </si>
  <si>
    <t>7</t>
  </si>
  <si>
    <t>4-1-1-8</t>
  </si>
  <si>
    <t>Sveikos gyvensenos kultūros gyventojams formavimas</t>
  </si>
  <si>
    <t>4.1.1.2.</t>
  </si>
  <si>
    <t>SSAS, M. Vaitilavičienė</t>
  </si>
  <si>
    <t>Vykdytų veiklų skaičius, vnt.</t>
  </si>
  <si>
    <t>4-1-1-12</t>
  </si>
  <si>
    <t xml:space="preserve">Sveikatos centro veiklos modelio diegimas Klaipėdos rajono savivaldybėje </t>
  </si>
  <si>
    <t>4.1.2.14.</t>
  </si>
  <si>
    <t>ES projekto šeimos gydytojo komandos plėtrai įgyvendinimas, vnt.</t>
  </si>
  <si>
    <t>4-1-1-13</t>
  </si>
  <si>
    <t>Narkotikų kontrolės prevencijos užtikrinimo programa</t>
  </si>
  <si>
    <t>4.1.2.12.</t>
  </si>
  <si>
    <t>T. Stonkė</t>
  </si>
  <si>
    <t>Prevencinių renginių skaičius, vnt.</t>
  </si>
  <si>
    <t> </t>
  </si>
  <si>
    <t>4-1-1-15</t>
  </si>
  <si>
    <t>Metų medicinos darbuotojo premija ir apdovanojimų ceremonija</t>
  </si>
  <si>
    <t>4.1.1.15</t>
  </si>
  <si>
    <t>SSAS</t>
  </si>
  <si>
    <t>Metų medicinos darbuotojo konkurso organizavimas, vnt.</t>
  </si>
  <si>
    <t>4-1-2</t>
  </si>
  <si>
    <t>Plėtoti sveikatos infrastruktūrą ir gerinti sveikatos priežiūros paslaugų kokybę bei prieinamumą</t>
  </si>
  <si>
    <t>4-1-2-1</t>
  </si>
  <si>
    <t>Klaipėdos raj. savivaldybės sveikatos centro priėmimo - skubios pagalbos skyriaus gyd. chirurgų, traumatologų etatų dalinis finansavimas</t>
  </si>
  <si>
    <t>7.10</t>
  </si>
  <si>
    <t>4.3.2.4.</t>
  </si>
  <si>
    <t>4-1-2-2</t>
  </si>
  <si>
    <t xml:space="preserve">Paramos gydytojams-specialistams dalinis finansavimas </t>
  </si>
  <si>
    <t>4.2.1.12.</t>
  </si>
  <si>
    <t>SSAS, 
G. Jonušavičienė</t>
  </si>
  <si>
    <t xml:space="preserve">Paramą gavusių specialistų, sk. </t>
  </si>
  <si>
    <t>4-1-2-3</t>
  </si>
  <si>
    <t>Sveikatos įstaigų darbuotojų kelionės kompensavimas</t>
  </si>
  <si>
    <t>7.2</t>
  </si>
  <si>
    <t>4.1.3.8.</t>
  </si>
  <si>
    <t>7.3</t>
  </si>
  <si>
    <t>7.4</t>
  </si>
  <si>
    <t>4-1-2-4</t>
  </si>
  <si>
    <t xml:space="preserve">Asmens sveikatos priežiūros įstaigų patalpų ir pastatų remontas, transporto remontas, buitinės, organizacinės technikos, kitų priemonių ir paslaugų įsigijimas </t>
  </si>
  <si>
    <t>4.1.6.3.</t>
  </si>
  <si>
    <t>4-1-2-5</t>
  </si>
  <si>
    <t>Ambulatorijų ir medicinos punktų dalinis finansavimas</t>
  </si>
  <si>
    <t>4.2.1.27.</t>
  </si>
  <si>
    <t>4-1-2-7</t>
  </si>
  <si>
    <t>Sveikatos centro sukūrimas Klaipėdos rajono savivaldybėje</t>
  </si>
  <si>
    <t>4.2.1.29.</t>
  </si>
  <si>
    <t>SSAS, G. Domarkė</t>
  </si>
  <si>
    <t>Įsigytos ir atnaujintos įrangos skaičius, vnt.</t>
  </si>
  <si>
    <t>7.3.</t>
  </si>
  <si>
    <t>7.4.</t>
  </si>
  <si>
    <t>4-1-2-9</t>
  </si>
  <si>
    <t>Palaikomojo gydymo  ir slaugos paslaugų modernizavimas Klaipėdos rajono savivaldybėje</t>
  </si>
  <si>
    <t>4.2.1.31.</t>
  </si>
  <si>
    <t xml:space="preserve">Modernizuotų palatų skaičius, vnt. </t>
  </si>
  <si>
    <t>4-1-2-10</t>
  </si>
  <si>
    <t>Projekto "Sveikatos centro specialistų rengimas, pritraukimas Klaipėdos rajono savivaldybėje" įgyvendinimas</t>
  </si>
  <si>
    <t>4.1.2.15.</t>
  </si>
  <si>
    <t xml:space="preserve">ES projekto medikų kvalifikacijos kėlimui ir kitoms motyvacinėms priemonėms vykdymas, vnt. </t>
  </si>
  <si>
    <t>5-1 Uždavinys: Mažinti socialinę atskirtį Klaipėdos rajone</t>
  </si>
  <si>
    <t>5-1-1</t>
  </si>
  <si>
    <t>Teikti valstybės ir savivaldybės piniginę socialinę paramą savivaldybės gyventojams</t>
  </si>
  <si>
    <t>5-1-1-1</t>
  </si>
  <si>
    <t>Išmokų vaikams skyrimas ir mokėjimas</t>
  </si>
  <si>
    <t>5.1.1.1.</t>
  </si>
  <si>
    <t xml:space="preserve">SSAS </t>
  </si>
  <si>
    <t>VBM(UK)</t>
  </si>
  <si>
    <t>Parengtos ataskaitos, vnt.</t>
  </si>
  <si>
    <t>5-1-1-2</t>
  </si>
  <si>
    <t xml:space="preserve">Finansinės pagalbos teikimas </t>
  </si>
  <si>
    <t>5.1.1.3.</t>
  </si>
  <si>
    <t>Nagrinėtų gyventojų prašymų atvejai, teikti svarstyti Socialinės paramos teikimo komisijai, vnt.</t>
  </si>
  <si>
    <t>Parengti įsakymų projektai, vnt.</t>
  </si>
  <si>
    <t>5-1-1-3</t>
  </si>
  <si>
    <t>Pagalbos pinigų mokėjimas</t>
  </si>
  <si>
    <t>5.1.1.8.</t>
  </si>
  <si>
    <t>Gavėjų skaičius, vnt.</t>
  </si>
  <si>
    <t>5-1-1-4</t>
  </si>
  <si>
    <t>Individualios pagalbos teikimo išlaidų kompensacijų mokėjimas</t>
  </si>
  <si>
    <t>5.1.1.4.</t>
  </si>
  <si>
    <t>Teisės aktų nustatyta tvarka skirtų mokėti  šalpos išmokų panaudotos lėšos, proc.</t>
  </si>
  <si>
    <t>5-1-1-5</t>
  </si>
  <si>
    <r>
      <t xml:space="preserve">Socialinių </t>
    </r>
    <r>
      <rPr>
        <b/>
        <sz val="8"/>
        <rFont val="Arial"/>
        <family val="2"/>
        <charset val="186"/>
      </rPr>
      <t>pašalpų</t>
    </r>
    <r>
      <rPr>
        <sz val="8"/>
        <rFont val="Arial"/>
        <family val="2"/>
        <charset val="186"/>
      </rPr>
      <t xml:space="preserve"> ir kompensacijų skaičiavimas ir mokėjimas</t>
    </r>
  </si>
  <si>
    <t>5.1.1.5.</t>
  </si>
  <si>
    <t>Teisės aktų nustatyta tvarka skirtų mokėti socialinių pašalpų bei kompensacijų panaudotos lėšos, proc.</t>
  </si>
  <si>
    <t>5-1-1-6</t>
  </si>
  <si>
    <t>Socialinė parama mokiniams (maitinimui, priemonėms)</t>
  </si>
  <si>
    <t>5.1.2.9</t>
  </si>
  <si>
    <t>Parengta ataskaitų, vnt.</t>
  </si>
  <si>
    <t>5.1.2.9.</t>
  </si>
  <si>
    <t>5-1-1-7</t>
  </si>
  <si>
    <t xml:space="preserve">Vienkartinėms išmokoms įsikurti
gyvenamojoje vietoje savivaldybės teritorijoje ir (ar) mėnesinėms kompensacijoms ugdomų vaikų išlaikymo išlaidoms apmokėti </t>
  </si>
  <si>
    <t>5.1.1.7.</t>
  </si>
  <si>
    <t>5-1-2</t>
  </si>
  <si>
    <t>Teikti kitą paramą socialiai pažeidžiamiems asmenims</t>
  </si>
  <si>
    <t>5-1-2-1</t>
  </si>
  <si>
    <t>Europos pagalbos labiausiai skurstantiems asmenims fondo projekto Klaipėdos rajone vykdymas</t>
  </si>
  <si>
    <t>5.1.2.13.</t>
  </si>
  <si>
    <t>5-1-2-2</t>
  </si>
  <si>
    <t>Būsto pritaikymas neįgaliesiems</t>
  </si>
  <si>
    <t>5.1.2.5.</t>
  </si>
  <si>
    <t>Nagrinėti gyventojų prašymai, vnt.</t>
  </si>
  <si>
    <t>Finansuotų būstų pritaikymo išlaidų gavėjų skaičius, vnt.</t>
  </si>
  <si>
    <t>5-1-2-3</t>
  </si>
  <si>
    <t>Neveiksnių asmenų būklės peržiūrėjimo užtikrinimas</t>
  </si>
  <si>
    <t>5.1.2.19.</t>
  </si>
  <si>
    <t>Finansuoti komisijos darbą, pervestos lėšos, proc.</t>
  </si>
  <si>
    <t>5-1-2-4</t>
  </si>
  <si>
    <t>Laikino atokvėpio paslaugos organizavimas</t>
  </si>
  <si>
    <t>5.1.2.39.</t>
  </si>
  <si>
    <t>5-2 Uždavinys: Plėtoti socialinių paslaugų teikimą didinant visų gyventojų grupių integraciją</t>
  </si>
  <si>
    <t>5-2-1</t>
  </si>
  <si>
    <t>Užtikrinti kokybišką socialinių paslaugų teikimą savivaldybės įstaigose</t>
  </si>
  <si>
    <t>7.7</t>
  </si>
  <si>
    <t>7.8</t>
  </si>
  <si>
    <t>7.6</t>
  </si>
  <si>
    <t>7.9</t>
  </si>
  <si>
    <t>5-2-1-7</t>
  </si>
  <si>
    <t>Socialinių paslaugų įstaigų elektros, šilumos ir kuro išlaidų finansavimas</t>
  </si>
  <si>
    <t>5.1.2.27.</t>
  </si>
  <si>
    <t>Apmokėti socialinių paslaugų įstaigų elektros ir kuro išlaidas, panaudotos lėšos, proc.</t>
  </si>
  <si>
    <t>5-2-1-8</t>
  </si>
  <si>
    <r>
      <t>Socialinių</t>
    </r>
    <r>
      <rPr>
        <b/>
        <sz val="8"/>
        <rFont val="Arial"/>
        <family val="2"/>
        <charset val="186"/>
      </rPr>
      <t xml:space="preserve"> į</t>
    </r>
    <r>
      <rPr>
        <sz val="8"/>
        <rFont val="Arial"/>
        <family val="2"/>
        <charset val="186"/>
      </rPr>
      <t xml:space="preserve">staigų patalpų </t>
    </r>
    <r>
      <rPr>
        <b/>
        <sz val="8"/>
        <rFont val="Arial"/>
        <family val="2"/>
        <charset val="186"/>
      </rPr>
      <t>remontas</t>
    </r>
    <r>
      <rPr>
        <sz val="8"/>
        <rFont val="Arial"/>
        <family val="2"/>
        <charset val="186"/>
      </rPr>
      <t>, transporto remontas, buitinės, organizacinės technikos, kitų priemonių įsigijimas ir renginių organizavimui</t>
    </r>
  </si>
  <si>
    <t>5.1.2.28.</t>
  </si>
  <si>
    <t>Socialinėms įstaigoms skirtų lėšų  pagal poreikį patalpų remontui, prekėms ir turtui įsigyti panaudojimas, proc.</t>
  </si>
  <si>
    <t>16.1</t>
  </si>
  <si>
    <t>5-2-2</t>
  </si>
  <si>
    <t>Gerinti socialinių paslaugų prieinamumą skatinant kitų socialinių paslaugų teikėjų veiklas</t>
  </si>
  <si>
    <t>5-2-2-1</t>
  </si>
  <si>
    <r>
      <rPr>
        <sz val="8"/>
        <color rgb="FF000000"/>
        <rFont val="Arial"/>
        <family val="2"/>
        <charset val="186"/>
      </rPr>
      <t xml:space="preserve">Socialinių </t>
    </r>
    <r>
      <rPr>
        <b/>
        <sz val="8"/>
        <color rgb="FF000000"/>
        <rFont val="Arial"/>
        <family val="2"/>
        <charset val="186"/>
      </rPr>
      <t>paslaugų</t>
    </r>
    <r>
      <rPr>
        <sz val="8"/>
        <color rgb="FF000000"/>
        <rFont val="Arial"/>
        <family val="2"/>
        <charset val="186"/>
      </rPr>
      <t xml:space="preserve"> pirkimas, socialinių paslaugų perdavimas NVO</t>
    </r>
  </si>
  <si>
    <t>5.1.2.4.</t>
  </si>
  <si>
    <t>Apmokėti įstaigoms už suteiktas socialines paslaugas, pervestos lėšos, proc.</t>
  </si>
  <si>
    <t>Rengti socialinių paslaugų skyrimo, nutraukimo, sustabdymo sprendimus, sprendimų skaičius, vnt.</t>
  </si>
  <si>
    <t>Paslaugų pirkimas iš NVO, pervestos lėšos, proc.</t>
  </si>
  <si>
    <t>5-2-2-2</t>
  </si>
  <si>
    <t>Socialinės reabilitacijos paslaugų neįgaliesiems  finansavimas</t>
  </si>
  <si>
    <t>5.1.2.15.</t>
  </si>
  <si>
    <t>Akredituotos socialinės reabilitacijos paslaugų neįgaliesiems teikėjų skaičius, vnt.</t>
  </si>
  <si>
    <t>Akredituotos socialinės reabilitacijos paslaugų neįgaliesiems gavėjų skaičius, vnt.</t>
  </si>
  <si>
    <t>5-2-2-3</t>
  </si>
  <si>
    <t>Sutrikusio intelekto žmonių globos bendrijos "Gargždų viltis" teikiamų transporto paslaugų neįgaliesiems finansavimas</t>
  </si>
  <si>
    <t>5.1.2.25</t>
  </si>
  <si>
    <t>5-2-2-4</t>
  </si>
  <si>
    <t>Mirusiųjų pervežimas iš įvykio vietos ir saugojimas iki teismo medicinos tyrimo atlikimo</t>
  </si>
  <si>
    <t>5.1.2.8</t>
  </si>
  <si>
    <t>5-2-2-5</t>
  </si>
  <si>
    <r>
      <t xml:space="preserve">Dotacija akredituotai </t>
    </r>
    <r>
      <rPr>
        <b/>
        <sz val="8"/>
        <rFont val="Arial"/>
        <family val="2"/>
        <charset val="186"/>
      </rPr>
      <t>vaikų dienos socialinei priežiūrai</t>
    </r>
    <r>
      <rPr>
        <sz val="8"/>
        <rFont val="Arial"/>
        <family val="2"/>
        <charset val="186"/>
      </rPr>
      <t xml:space="preserve"> organizuoti, teikti ir administruoti</t>
    </r>
  </si>
  <si>
    <t>5.1.2.30</t>
  </si>
  <si>
    <t>5-2-2-6</t>
  </si>
  <si>
    <t>Asmeninės pagalbos neįgaliems asmenims organizavimas</t>
  </si>
  <si>
    <t>5.1.2.29</t>
  </si>
  <si>
    <t>5-2-2-7</t>
  </si>
  <si>
    <t>Projekto "Paslaugų teikimas užsieniečiams Klaipėdos rajono savivaldybėje" įgyvendinimas</t>
  </si>
  <si>
    <t>5.1.2.32</t>
  </si>
  <si>
    <t>5-2-2-8</t>
  </si>
  <si>
    <t>Projekto "Socialinės dirbtuvės" įgyvendinimas</t>
  </si>
  <si>
    <t>5.1.2.33.</t>
  </si>
  <si>
    <t>5-2-2-9</t>
  </si>
  <si>
    <t>Projekto "Klaipėdos rajonas veža" įgyvendinimas</t>
  </si>
  <si>
    <t>5.1.2.37.</t>
  </si>
  <si>
    <t>Paslaugų suteikimo skaičius, vnt.</t>
  </si>
  <si>
    <t>5-2-3</t>
  </si>
  <si>
    <t>Plėtoti ir modernizuoti socialinių paslaugų infrastruktūrą</t>
  </si>
  <si>
    <t>5-2-3-1</t>
  </si>
  <si>
    <t>Socialinio būsto rėmimo programos įgyvendinimas</t>
  </si>
  <si>
    <t>5.1.3.3.</t>
  </si>
  <si>
    <t>Socialinių būstų, kurių būklė pagerinta, skaičius, vnt.</t>
  </si>
  <si>
    <t>Asmenys, kuriems suteiktas socialinis būstas, vnt.</t>
  </si>
  <si>
    <t>5-2-3-2</t>
  </si>
  <si>
    <t>Socialinio būsto plėtra</t>
  </si>
  <si>
    <t>5.1.3.14</t>
  </si>
  <si>
    <t>Įgytų būstų skaičius, vnt.</t>
  </si>
  <si>
    <t>5-2-3-3</t>
  </si>
  <si>
    <t>5.1.3.15.</t>
  </si>
  <si>
    <t>5-2-3-4</t>
  </si>
  <si>
    <t>Socialinių dirbtuvių steigimas 15 asmenų Gargžduose</t>
  </si>
  <si>
    <t>5.1.3.16.</t>
  </si>
  <si>
    <t xml:space="preserve">Atlikta remonto, rangos darbų, proc. </t>
  </si>
  <si>
    <t>5-2-3-6</t>
  </si>
  <si>
    <t>Grupinio gyvenimo namų steigimas proto ir/ar psichinę negalią turintiems asmenims</t>
  </si>
  <si>
    <t>5.1.3.18.</t>
  </si>
  <si>
    <t>Nupirkti projektavimo darbai, vnt.</t>
  </si>
  <si>
    <t>5-2-3-9</t>
  </si>
  <si>
    <t>Sendvario seniūnijos viešųjų paslaugų centro kūrimas</t>
  </si>
  <si>
    <t>2, 9</t>
  </si>
  <si>
    <t xml:space="preserve">9.1.1.22. </t>
  </si>
  <si>
    <t>Atliktas architektūrinio konkurso organizavimas, vnt.</t>
  </si>
  <si>
    <t>5-3 Uždavinys: Didinti Klaipėdos rajono gyventojų užimtumą ir ekonominį aktyvumą</t>
  </si>
  <si>
    <t>5-3-1</t>
  </si>
  <si>
    <t>Užimtumo didinimo programos vykdymas</t>
  </si>
  <si>
    <t>5.2.1.2.</t>
  </si>
  <si>
    <t>Vykdant  Užimtumo didinimo  programą įdarbinti bedarbiai, asmenų skaičius</t>
  </si>
  <si>
    <t>5-3-2</t>
  </si>
  <si>
    <t>Įgyvendinti Klaipėdos rajono savivaldybės jaunimo politiką</t>
  </si>
  <si>
    <t>5-3-2-1</t>
  </si>
  <si>
    <t>Jaunimo įgalinimo ir įtraukimo į pilietinę veiklą galimybių kūrimas ir plėtra</t>
  </si>
  <si>
    <t>5.1.4.2.</t>
  </si>
  <si>
    <t>Jaunimo reikalų koordinatorius</t>
  </si>
  <si>
    <t>Iš dalies finansuoti projektai, vnt.</t>
  </si>
  <si>
    <t>Konkursų laureatų skaičius, vnt.</t>
  </si>
  <si>
    <t>Mokymai, susitikimai, renginiai, vnt.</t>
  </si>
  <si>
    <t>Vasaros laikotarpiu įdarbintų nepilnamečių  skaičius, vnt.</t>
  </si>
  <si>
    <t>Ilgalaikę savanorišką veiklą atliekančių jaunuolių skaičius savanorius priimančiose organizacijose, vnt.</t>
  </si>
  <si>
    <t>5-4 Uždavinys: Bendradarbiauti su vietos bendruomene, siekiant efektyviau tenkinti viešąjį interesą</t>
  </si>
  <si>
    <t>5-4-1</t>
  </si>
  <si>
    <t>Skatinti nevyriausybinių organizacijų veiklą</t>
  </si>
  <si>
    <t xml:space="preserve">Sudarytų sutarčių su bendruomenėmis ir NVO, kurių paraiškos atrinktos finansavimui gauti  ISS skaičius, vnt. 
Surinktų ataskaitų skaičius, vnt.
</t>
  </si>
  <si>
    <t>43
43</t>
  </si>
  <si>
    <t>5-4-1-1</t>
  </si>
  <si>
    <t>Klaipėdos r. savivaldybės ir nevyriausybinių organizacijų bendradarbiavimas</t>
  </si>
  <si>
    <t>9.4.3.1</t>
  </si>
  <si>
    <t>Sudarytų sutarčių su bendruomenėmis, gavusiomis finansavimą iš išorės šaltinių, skaičius, vnt.</t>
  </si>
  <si>
    <t>NVO ir BO tarybų veiklos planų koordinavimas, įgyvendintų priemonių skaičius, vnt.</t>
  </si>
  <si>
    <t>5-4-1-2</t>
  </si>
  <si>
    <t>Klaipėdos r. gyvenamųjų vietovių bendruomenių rėmimo programos įgyvendinimas</t>
  </si>
  <si>
    <t>9.4.3.2</t>
  </si>
  <si>
    <t>Sudarytų sutarčių skaičius, vnt.</t>
  </si>
  <si>
    <t>5-4-1-3</t>
  </si>
  <si>
    <t>Klaipėdos r. bendruomenių ir nevyriausybinių organizacijų projektų, įgyvendinamų pagal vietos veiklos grupių (VVG) vietos plėtros strategijų priemones, bei VVG administravimo lėšų dalinis finansavimas</t>
  </si>
  <si>
    <t>9.4.3.3.</t>
  </si>
  <si>
    <t xml:space="preserve">Sudarytų sutarčių, papildomų susitarimų skaičius, vnt.
</t>
  </si>
  <si>
    <t>5-4-1-4</t>
  </si>
  <si>
    <t>Klaipėdos r. tradicinių religinių bendruomenių ir bendrijų rėmimo programos įgyvendinimas</t>
  </si>
  <si>
    <t>9.4.3.4.</t>
  </si>
  <si>
    <t>5-4-1-5</t>
  </si>
  <si>
    <t>Projektas "Gebėjimų stiprinimas ir nevyriausybinių organizacijų veiklos internacionalizavimas Liepojos mieste ir Klaipėdos rajone"</t>
  </si>
  <si>
    <t>5.2.1.3.</t>
  </si>
  <si>
    <t xml:space="preserve">Analizės ir tyrimo parengimas bei veiksmų plano sudarymas (rinkinys), vnt.          </t>
  </si>
  <si>
    <t xml:space="preserve">6-1 Uždavinys: Prižiūrėti susisiekimo viešąją infrastruktūrą Klaipėdos rajone </t>
  </si>
  <si>
    <t>6-1-1</t>
  </si>
  <si>
    <t>Prižiūrėti gyvenviečių gatves ir kelius Klaipėdos rajono seniūnijose bei vykdyti jų einamąjį remontą</t>
  </si>
  <si>
    <t>Iš viso SB lėšos</t>
  </si>
  <si>
    <t>Iš viso VLK lėšos</t>
  </si>
  <si>
    <t xml:space="preserve">Iš viso </t>
  </si>
  <si>
    <t>6-1-1-1</t>
  </si>
  <si>
    <t>Agluonėnų seniūnijos kelių, gatvių priežiūra ir remontas</t>
  </si>
  <si>
    <t>6.1.1.1.25.</t>
  </si>
  <si>
    <t>Agluonėnų sen. seniūnė</t>
  </si>
  <si>
    <t>Prižiūrimi keliai, km</t>
  </si>
  <si>
    <t>6-1-1-2</t>
  </si>
  <si>
    <t>Dauparų-Kvietinių seniūnijos kelių, gatvių priežiūra ir remontas</t>
  </si>
  <si>
    <t>6.1.1.1.26.</t>
  </si>
  <si>
    <t>Dauparų-Kvietinių sen. seniūnas</t>
  </si>
  <si>
    <t>6-1-1-3</t>
  </si>
  <si>
    <t>Dovilų seniūnijos kelių, gatvių priežiūra ir remontas</t>
  </si>
  <si>
    <t>6.1.1.1.27.</t>
  </si>
  <si>
    <t>Dovilų sen. seniūnė</t>
  </si>
  <si>
    <t>6-1-1-4</t>
  </si>
  <si>
    <t>Endriejavo seniūnijos kelių, gatvių priežiūra ir remontas</t>
  </si>
  <si>
    <t>6.1.1.1.28.</t>
  </si>
  <si>
    <t>Endriejavo sen. seniūnas</t>
  </si>
  <si>
    <t>6-1-1-5</t>
  </si>
  <si>
    <t>Gargždų  seniūnijos kelių, gatvių priežiūra ir remontas</t>
  </si>
  <si>
    <t>6.1.1.1.29.</t>
  </si>
  <si>
    <t>Gargždų seniūnija,
 V. Žigus</t>
  </si>
  <si>
    <t>6-1-1-6</t>
  </si>
  <si>
    <t>Judrėnų  seniūnijos kelių, gatvių priežiūra ir remontas</t>
  </si>
  <si>
    <t>6.1.1.1.30.</t>
  </si>
  <si>
    <t>Judrėnų sen. seniūnas</t>
  </si>
  <si>
    <t>6-1-1-7</t>
  </si>
  <si>
    <t>Kretingalės  seniūnijos kelių, gatvių priežiūra ir remontas</t>
  </si>
  <si>
    <t>6.1.1.1.31.</t>
  </si>
  <si>
    <t>Kretingalės sen. seniūnas</t>
  </si>
  <si>
    <t>6-1-1-8</t>
  </si>
  <si>
    <t>Priekulės seniūnijos kelių, gatvių priežiūra ir remontas</t>
  </si>
  <si>
    <t>6.1.1.1.32.</t>
  </si>
  <si>
    <t>Priekulės sen., D. Bliūdžiuvienė, R. Narkienė</t>
  </si>
  <si>
    <t>6-1-1-9</t>
  </si>
  <si>
    <t>Sendvario seniūnijos kelių, gatvių priežiūra ir remontas</t>
  </si>
  <si>
    <t>6.1.1.1.33.</t>
  </si>
  <si>
    <t>Sendvario sen., 
G. Girdvainis</t>
  </si>
  <si>
    <t>6-1-1-10</t>
  </si>
  <si>
    <t>Veiviržėnų seniūnijos kelių, gatvių priežiūra ir remontas</t>
  </si>
  <si>
    <t>6.1.1.1.34.</t>
  </si>
  <si>
    <t>Veiviržėnų sen. seniūnė</t>
  </si>
  <si>
    <t>6-1-1-11</t>
  </si>
  <si>
    <t>Vėžaičių seniūnijos kelių, gatvių priežiūra ir remontas</t>
  </si>
  <si>
    <t>6.1.1.1.35.</t>
  </si>
  <si>
    <t>Vėžaičių sen. seniūnas</t>
  </si>
  <si>
    <t>6-1-1-12</t>
  </si>
  <si>
    <t>Rezervas skiriamas apmokėti už nenumatytus darbus, atsirandančius sutartyse numatytų darbų vykdymo metu</t>
  </si>
  <si>
    <t>6.1.1.1.</t>
  </si>
  <si>
    <t>Pagal poreikį atlikti mokėjimus, panaudotų lėšų dalis, proc.</t>
  </si>
  <si>
    <t>6-1-1-13</t>
  </si>
  <si>
    <t>Vietinės reikšmės kelių ir gatvių, sodų bendrijų gatvių  inventorizavimas ir įteisinimas</t>
  </si>
  <si>
    <t>36, 2, 9.1</t>
  </si>
  <si>
    <t>6.1.1.30.</t>
  </si>
  <si>
    <t>A. Indzelė, G. Jurjonė, A. Daukantienė, 
Š. Čičinis</t>
  </si>
  <si>
    <t>6-2 Uždavinys: Modernizuoti Klaipėdos rajono savivaldybės gyvenviečių gatves ir kelius</t>
  </si>
  <si>
    <t>6-2-1</t>
  </si>
  <si>
    <t>Susisiekimo infrastruktūros atnaujinimas, remontas ir plėtra Klaipėdos rajono seniūnijose</t>
  </si>
  <si>
    <t>VBD(KP)</t>
  </si>
  <si>
    <t>6-2-1-2</t>
  </si>
  <si>
    <r>
      <t>Mazūriškių k.,</t>
    </r>
    <r>
      <rPr>
        <b/>
        <sz val="8"/>
        <rFont val="Arial"/>
        <family val="2"/>
        <charset val="186"/>
      </rPr>
      <t xml:space="preserve"> Rasytės g., Agilos g., Jurgaičių g</t>
    </r>
    <r>
      <rPr>
        <sz val="8"/>
        <rFont val="Arial"/>
        <family val="2"/>
        <charset val="186"/>
      </rPr>
      <t xml:space="preserve">.  šviesoforinės </t>
    </r>
    <r>
      <rPr>
        <b/>
        <sz val="8"/>
        <rFont val="Arial"/>
        <family val="2"/>
        <charset val="186"/>
      </rPr>
      <t>sankryžos</t>
    </r>
    <r>
      <rPr>
        <sz val="8"/>
        <rFont val="Arial"/>
        <family val="2"/>
        <charset val="186"/>
      </rPr>
      <t xml:space="preserve"> projektavimas ir statyba</t>
    </r>
  </si>
  <si>
    <t>6.4.1.2.</t>
  </si>
  <si>
    <t>Sumokėtos sulaikytos lėšos, vnt.</t>
  </si>
  <si>
    <t>6-2-1-3</t>
  </si>
  <si>
    <r>
      <t xml:space="preserve">Slengių k., </t>
    </r>
    <r>
      <rPr>
        <b/>
        <sz val="8"/>
        <rFont val="Arial"/>
        <family val="2"/>
        <charset val="186"/>
      </rPr>
      <t>Pavandenės g., Pavandenės tak</t>
    </r>
    <r>
      <rPr>
        <sz val="8"/>
        <rFont val="Arial"/>
        <family val="2"/>
        <charset val="186"/>
      </rPr>
      <t>.,</t>
    </r>
  </si>
  <si>
    <t>6.4.1.4.</t>
  </si>
  <si>
    <t>Įvykdyti papildomi rangos darbai, proc.</t>
  </si>
  <si>
    <t>6-2-1-4</t>
  </si>
  <si>
    <r>
      <t xml:space="preserve">Gargždai KL7036 </t>
    </r>
    <r>
      <rPr>
        <b/>
        <sz val="8"/>
        <rFont val="Arial"/>
        <family val="2"/>
        <charset val="186"/>
      </rPr>
      <t>Kvietinių g</t>
    </r>
    <r>
      <rPr>
        <sz val="8"/>
        <rFont val="Arial"/>
        <family val="2"/>
        <charset val="186"/>
      </rPr>
      <t>. projektavimas ir remontas</t>
    </r>
  </si>
  <si>
    <t>6.4.1.5.</t>
  </si>
  <si>
    <t xml:space="preserve">Parengtas pėsčiųjų/dviračių takų techninis projektas, vnt.
</t>
  </si>
  <si>
    <t xml:space="preserve">1
</t>
  </si>
  <si>
    <t>6-2-1-5</t>
  </si>
  <si>
    <r>
      <t xml:space="preserve">Gargždų </t>
    </r>
    <r>
      <rPr>
        <b/>
        <sz val="8"/>
        <rFont val="Arial"/>
        <family val="2"/>
        <charset val="186"/>
      </rPr>
      <t>Taikos</t>
    </r>
    <r>
      <rPr>
        <sz val="8"/>
        <rFont val="Arial"/>
        <family val="2"/>
        <charset val="186"/>
      </rPr>
      <t xml:space="preserve"> g. renovuotų namų kvartalas </t>
    </r>
  </si>
  <si>
    <t>6.4.1.7.</t>
  </si>
  <si>
    <t>Atlikti baigiamieji rangos darbai, proc.</t>
  </si>
  <si>
    <t>6-2-1-6</t>
  </si>
  <si>
    <r>
      <rPr>
        <sz val="8"/>
        <color rgb="FF000000"/>
        <rFont val="Arial"/>
        <family val="2"/>
        <charset val="186"/>
      </rPr>
      <t xml:space="preserve">Gargždų </t>
    </r>
    <r>
      <rPr>
        <b/>
        <sz val="8"/>
        <color rgb="FF000000"/>
        <rFont val="Arial"/>
        <family val="2"/>
        <charset val="186"/>
      </rPr>
      <t xml:space="preserve">Kvietinių g. 30 </t>
    </r>
    <r>
      <rPr>
        <sz val="8"/>
        <color rgb="FF000000"/>
        <rFont val="Arial"/>
        <family val="2"/>
        <charset val="186"/>
      </rPr>
      <t>aikštelė</t>
    </r>
  </si>
  <si>
    <t>6.4.1.8.</t>
  </si>
  <si>
    <t>6-2-1-7</t>
  </si>
  <si>
    <r>
      <rPr>
        <sz val="8"/>
        <color rgb="FF000000"/>
        <rFont val="Arial"/>
        <family val="2"/>
        <charset val="186"/>
      </rPr>
      <t xml:space="preserve">Gargždų, </t>
    </r>
    <r>
      <rPr>
        <b/>
        <sz val="8"/>
        <color rgb="FF000000"/>
        <rFont val="Arial"/>
        <family val="2"/>
        <charset val="186"/>
      </rPr>
      <t>Taikos g. 11 n</t>
    </r>
    <r>
      <rPr>
        <sz val="8"/>
        <color rgb="FF000000"/>
        <rFont val="Arial"/>
        <family val="2"/>
        <charset val="186"/>
      </rPr>
      <t xml:space="preserve">amo pritaikymas neįgaliųjų poreikiams </t>
    </r>
  </si>
  <si>
    <t>6.4.1.9.</t>
  </si>
  <si>
    <t>Projektavimas ir rangos darbai, vnt.</t>
  </si>
  <si>
    <t>6-2-1-8</t>
  </si>
  <si>
    <r>
      <t xml:space="preserve">Teritorijos sutvarkymo ir mažosios architektūros elementų tarp </t>
    </r>
    <r>
      <rPr>
        <b/>
        <sz val="8"/>
        <rFont val="Arial"/>
        <family val="2"/>
        <charset val="186"/>
      </rPr>
      <t>Klaipėdos, J. Janonio, Žemaitės, Kvietinių g</t>
    </r>
    <r>
      <rPr>
        <sz val="8"/>
        <rFont val="Arial"/>
        <family val="2"/>
        <charset val="186"/>
      </rPr>
      <t>. Gargždų m. techninio projekto parengimas ir įgyvendinimas</t>
    </r>
  </si>
  <si>
    <t>6.1.2.21.</t>
  </si>
  <si>
    <t>Įvykdyti rangos darbai, proc</t>
  </si>
  <si>
    <t>6-2-1-9</t>
  </si>
  <si>
    <r>
      <rPr>
        <b/>
        <sz val="8"/>
        <color theme="1"/>
        <rFont val="Arial"/>
        <family val="2"/>
        <charset val="186"/>
      </rPr>
      <t>Karklės automobilių stovėjimo aikštelės</t>
    </r>
    <r>
      <rPr>
        <sz val="8"/>
        <color theme="1"/>
        <rFont val="Arial"/>
        <family val="2"/>
        <charset val="186"/>
      </rPr>
      <t xml:space="preserve"> projektavimas</t>
    </r>
    <r>
      <rPr>
        <sz val="8"/>
        <color theme="1"/>
        <rFont val="Arial"/>
        <family val="2"/>
        <charset val="186"/>
      </rPr>
      <t xml:space="preserve"> ir įrengimas</t>
    </r>
  </si>
  <si>
    <t>6.4.1.11.</t>
  </si>
  <si>
    <t>Gautas staybą leidžiantis dokumentas, vnt.</t>
  </si>
  <si>
    <t>6-2-1-11</t>
  </si>
  <si>
    <r>
      <t xml:space="preserve">Klaipėdos rajono sav., Sendvario sen., </t>
    </r>
    <r>
      <rPr>
        <b/>
        <sz val="8"/>
        <color rgb="FF000000"/>
        <rFont val="Arial"/>
        <family val="2"/>
        <charset val="186"/>
      </rPr>
      <t xml:space="preserve">Agilos </t>
    </r>
    <r>
      <rPr>
        <sz val="8"/>
        <color rgb="FF000000"/>
        <rFont val="Arial"/>
        <family val="2"/>
        <charset val="186"/>
      </rPr>
      <t>g. (KL1413) projektavimas, rekonstravimas, įrengiant šaligatvį, dviračių taką</t>
    </r>
    <r>
      <rPr>
        <b/>
        <sz val="8"/>
        <color rgb="FF000000"/>
        <rFont val="Arial"/>
        <family val="2"/>
        <charset val="186"/>
      </rPr>
      <t xml:space="preserve"> iki Gilijos g.</t>
    </r>
  </si>
  <si>
    <t>6.4.1.13.</t>
  </si>
  <si>
    <t>6-2-1-13</t>
  </si>
  <si>
    <r>
      <rPr>
        <sz val="8"/>
        <color rgb="FF000000"/>
        <rFont val="Arial"/>
        <family val="2"/>
        <charset val="186"/>
      </rPr>
      <t xml:space="preserve">Dotacija Klaipėdos rajono savivaldybės kelio Nr. </t>
    </r>
    <r>
      <rPr>
        <b/>
        <sz val="8"/>
        <color rgb="FF000000"/>
        <rFont val="Arial"/>
        <family val="2"/>
        <charset val="186"/>
      </rPr>
      <t>KL1278</t>
    </r>
    <r>
      <rPr>
        <sz val="8"/>
        <color rgb="FF000000"/>
        <rFont val="Arial"/>
        <family val="2"/>
        <charset val="186"/>
      </rPr>
      <t xml:space="preserve"> atkarpos į Kairių poligoną taisymui (remontui) finansuoti</t>
    </r>
  </si>
  <si>
    <t>6.1.1.47.</t>
  </si>
  <si>
    <t>Įvykdyti projektavimo darbai, vnt.</t>
  </si>
  <si>
    <t>6-2-1-15</t>
  </si>
  <si>
    <r>
      <rPr>
        <sz val="8"/>
        <color rgb="FF000000"/>
        <rFont val="Arial"/>
        <family val="2"/>
        <charset val="186"/>
      </rPr>
      <t xml:space="preserve">Karaliaus Vilhelmo kanalo statinių komplekso </t>
    </r>
    <r>
      <rPr>
        <b/>
        <sz val="8"/>
        <color rgb="FF000000"/>
        <rFont val="Arial"/>
        <family val="2"/>
        <charset val="186"/>
      </rPr>
      <t xml:space="preserve">Jokšų tilto </t>
    </r>
    <r>
      <rPr>
        <sz val="8"/>
        <color rgb="FF000000"/>
        <rFont val="Arial"/>
        <family val="2"/>
        <charset val="186"/>
      </rPr>
      <t>(u.k. KVR 25967), Jokšų k., kapitalinio remonto ir tvarkybos (remonto, restauravimo) darbai (pagrindiniai darbai)</t>
    </r>
  </si>
  <si>
    <t>6.1.4.19.</t>
  </si>
  <si>
    <t>Įvykdyti baigiamieji rangos darbai, proc.</t>
  </si>
  <si>
    <t>VBM (KP)</t>
  </si>
  <si>
    <t>6-2-1-16</t>
  </si>
  <si>
    <r>
      <t xml:space="preserve">Priežiūra ir remontas </t>
    </r>
    <r>
      <rPr>
        <b/>
        <sz val="8"/>
        <rFont val="Arial"/>
        <family val="2"/>
        <charset val="186"/>
      </rPr>
      <t>Priekulės TILTŲ</t>
    </r>
  </si>
  <si>
    <t>6.1.4.19.32.</t>
  </si>
  <si>
    <t>D. Bliūdžiuvienė</t>
  </si>
  <si>
    <t>Dituvos kabančio tilto remonto darbai, proc.</t>
  </si>
  <si>
    <t>6-2-1-19</t>
  </si>
  <si>
    <t>Jungtinės gatvės ir inžinerinių (lauko paviršinių (lietaus) nuotekų) tinklų, žemės sklype Unik. Nr. 4400-6166-4058, Aukštkiemių k., Sendvario sen., Klaipėdos rajono sav., statyba ( iki Vėjo g., Klaipėdos m.)</t>
  </si>
  <si>
    <t>6.4.1.36.</t>
  </si>
  <si>
    <t>Įsigyti rangos darbai, vnt.</t>
  </si>
  <si>
    <t>6-2-1-22</t>
  </si>
  <si>
    <t>Plikių mokyklos automobilių stovėjimo aikštelės įrengimas</t>
  </si>
  <si>
    <t>6.4.1.38.</t>
  </si>
  <si>
    <t>Įvykdyti rangos darbai, proc.</t>
  </si>
  <si>
    <t>6-2-1-23</t>
  </si>
  <si>
    <t>Automobilių aikštelės prie stovyklavietės "Pasaka" Kukuliškių k. projekto parengimas ir įrengimas</t>
  </si>
  <si>
    <t>6.4.1.39.</t>
  </si>
  <si>
    <t>6-2-1-24</t>
  </si>
  <si>
    <t xml:space="preserve">Adomo Brako g., Kalotės k. automobilių aikštelės projekto parengimas </t>
  </si>
  <si>
    <t>6.4.1.40.</t>
  </si>
  <si>
    <t>6-2-1-25</t>
  </si>
  <si>
    <t>Vietinės reikšmės kelio KL8004 Mokyklos g. Agluonėnų k. 0,200 km ruožas ties sankryža su I. Simonaitytės g. remontas</t>
  </si>
  <si>
    <t>6.4.1.41.</t>
  </si>
  <si>
    <t>6-2-1-26</t>
  </si>
  <si>
    <r>
      <t xml:space="preserve">Savivaldybės </t>
    </r>
    <r>
      <rPr>
        <b/>
        <sz val="8"/>
        <rFont val="Arial"/>
        <family val="2"/>
        <charset val="186"/>
      </rPr>
      <t>prisidėjimas</t>
    </r>
    <r>
      <rPr>
        <sz val="8"/>
        <rFont val="Arial"/>
        <family val="2"/>
        <charset val="186"/>
      </rPr>
      <t xml:space="preserve"> prie fizinių ar juridinių asmenų, pageidaujančių skirti tikslinių lėšų Klaipėdos rajono vietinės reikšmės kelių juostoje esantiems kelių statiniams ir daugiabučių kiemams projektuoti, rekonstruoti, taisyti </t>
    </r>
  </si>
  <si>
    <t>6.1.3.8.</t>
  </si>
  <si>
    <t>SB „Putinas“ Putino g. Kiškėnai</t>
  </si>
  <si>
    <t>SB „Vaiteliai“ gatvių kapitalinis remontas</t>
  </si>
  <si>
    <t>„Stančių Parkas“ Tvenkinių g. Stančių k.</t>
  </si>
  <si>
    <t>Kiemai (4 kiemai Gargžduose Melioratorių g. 8 ir 12, Dariaus ir Girėno g. 25 ir Liepų g. 1)</t>
  </si>
  <si>
    <t>Svencelės, Svencelės g. KL1235</t>
  </si>
  <si>
    <t>Placio g., Karklės km.</t>
  </si>
  <si>
    <t>Aukštkiemių g. KL1410, , Aukštkiemių k., 800metrų nuo magistralinio kelio A13</t>
  </si>
  <si>
    <t>6-2-1-27</t>
  </si>
  <si>
    <r>
      <rPr>
        <sz val="8"/>
        <color rgb="FF000000"/>
        <rFont val="Arial"/>
        <family val="2"/>
        <charset val="186"/>
      </rPr>
      <t xml:space="preserve">Savivaldybės </t>
    </r>
    <r>
      <rPr>
        <b/>
        <sz val="8"/>
        <color rgb="FF000000"/>
        <rFont val="Arial"/>
        <family val="2"/>
        <charset val="186"/>
      </rPr>
      <t xml:space="preserve">gatvių einamasis remontas
</t>
    </r>
    <r>
      <rPr>
        <sz val="8"/>
        <color rgb="FF000000"/>
        <rFont val="Arial"/>
        <family val="2"/>
        <charset val="186"/>
      </rPr>
      <t>2026-2028 m.</t>
    </r>
  </si>
  <si>
    <t>6.1.3.31.</t>
  </si>
  <si>
    <t>Atlikti rangos darbai, proc.
Atnaujinti keliai ir gatvės, km</t>
  </si>
  <si>
    <t>100
3</t>
  </si>
  <si>
    <t>6-2-1-28</t>
  </si>
  <si>
    <t>Gargždų miesto kiemų,  skersgatvių, kelio dangų, pėsčiųjų takų, apšvietimo remontas ir įrengimas</t>
  </si>
  <si>
    <t>6.1.1.42.</t>
  </si>
  <si>
    <t>Sulaikytoms lėšoms</t>
  </si>
  <si>
    <t>6-2-1-29</t>
  </si>
  <si>
    <t>Sendvario seniūnijos inžinerinės infrastruktūros remontas ir įrengimas</t>
  </si>
  <si>
    <t>6.1.1.40.</t>
  </si>
  <si>
    <t>6-2-1-30</t>
  </si>
  <si>
    <t>Savivaldybės inžinerinės infrastruktūros įrengimas (panaudojant inžinerinės infrastruktūros plėtros įmokų lėšas)</t>
  </si>
  <si>
    <t>6.1.1.43.</t>
  </si>
  <si>
    <t>Sulaikytoms lėšoms bei fondas</t>
  </si>
  <si>
    <t>6-2-2</t>
  </si>
  <si>
    <t>Klaipėdos rajono ilgalaikio susisiekimo infrastruktūros objektų vystymo plane numatytų vietinės reikšmės kelių projektų parengimas ir įgyvendinimas</t>
  </si>
  <si>
    <t>KPPP</t>
  </si>
  <si>
    <t>6-2-2-1</t>
  </si>
  <si>
    <r>
      <t xml:space="preserve">Sendvario sen. </t>
    </r>
    <r>
      <rPr>
        <b/>
        <sz val="8"/>
        <rFont val="Arial"/>
        <family val="2"/>
        <charset val="186"/>
      </rPr>
      <t xml:space="preserve">Gindulių k. Daržų gatvės </t>
    </r>
    <r>
      <rPr>
        <sz val="8"/>
        <rFont val="Arial"/>
        <family val="2"/>
        <charset val="186"/>
      </rPr>
      <t>Nr. KL8794 kapitalinis remontas</t>
    </r>
  </si>
  <si>
    <t>6.4.1.34.</t>
  </si>
  <si>
    <t>6-2-2-2</t>
  </si>
  <si>
    <r>
      <t xml:space="preserve">Sendvario sen. </t>
    </r>
    <r>
      <rPr>
        <b/>
        <sz val="8"/>
        <rFont val="Arial"/>
        <family val="2"/>
        <charset val="186"/>
      </rPr>
      <t>Jakų k. Pašto gatvė</t>
    </r>
    <r>
      <rPr>
        <sz val="8"/>
        <rFont val="Arial"/>
        <family val="2"/>
        <charset val="186"/>
      </rPr>
      <t>s Nr. KL8755 techninio-darbo projekto parengimas ir įgyvendinimas</t>
    </r>
  </si>
  <si>
    <t>6.1.2.22.</t>
  </si>
  <si>
    <t>6-2-2-3</t>
  </si>
  <si>
    <r>
      <t xml:space="preserve">Klaipėdos rajono sav., </t>
    </r>
    <r>
      <rPr>
        <b/>
        <sz val="8"/>
        <rFont val="Arial"/>
        <family val="2"/>
        <charset val="186"/>
      </rPr>
      <t>Sendvario sen., Juodžemių g</t>
    </r>
    <r>
      <rPr>
        <sz val="8"/>
        <rFont val="Arial"/>
        <family val="2"/>
        <charset val="186"/>
      </rPr>
      <t>. (KL8812) projektavimas, tiesimas įrengiant šaligatvį, dviračių taką, automobilių stovėjimo aikštelę prie projektuojamo vaikų darželio bei apšvietimo ir lietaus nuvedimo tinklus, rekonstrukcija</t>
    </r>
  </si>
  <si>
    <t>6.4.1.14.</t>
  </si>
  <si>
    <t>Baigti rangos darbai, proc.</t>
  </si>
  <si>
    <t>6-2-2-4</t>
  </si>
  <si>
    <r>
      <t xml:space="preserve">Klaipėdos rajono sav., </t>
    </r>
    <r>
      <rPr>
        <b/>
        <sz val="8"/>
        <rFont val="Arial"/>
        <family val="2"/>
        <charset val="186"/>
      </rPr>
      <t xml:space="preserve">Sendvario sen., Šilelių  (KL1430) - Jurgaičių </t>
    </r>
    <r>
      <rPr>
        <sz val="8"/>
        <rFont val="Arial"/>
        <family val="2"/>
        <charset val="186"/>
      </rPr>
      <t>(KL1452) gatvių projektavimas ir rekonstrukcija</t>
    </r>
  </si>
  <si>
    <t>6.4.1.15.</t>
  </si>
  <si>
    <t>Gautas statybą leidžiantis dokumentas, vnt</t>
  </si>
  <si>
    <t>Nupirkti rangos darbai, vnt.</t>
  </si>
  <si>
    <t>6-2-2-5</t>
  </si>
  <si>
    <r>
      <t xml:space="preserve">Klaipėdos raj. Sendvario sen. </t>
    </r>
    <r>
      <rPr>
        <b/>
        <sz val="8"/>
        <rFont val="Arial"/>
        <family val="2"/>
        <charset val="186"/>
      </rPr>
      <t xml:space="preserve">Jakų k. Sodo g. </t>
    </r>
    <r>
      <rPr>
        <sz val="8"/>
        <rFont val="Arial"/>
        <family val="2"/>
        <charset val="186"/>
      </rPr>
      <t>kaptalinis remontas projektavimas, rangos darbai</t>
    </r>
  </si>
  <si>
    <t>6.4.1.16.</t>
  </si>
  <si>
    <t>Vykdomi projektavimo darbai, proc.</t>
  </si>
  <si>
    <t>6-2-2-6</t>
  </si>
  <si>
    <r>
      <t xml:space="preserve">Klaipėdos raj. Priekulės sen. </t>
    </r>
    <r>
      <rPr>
        <b/>
        <sz val="8"/>
        <rFont val="Arial"/>
        <family val="2"/>
        <charset val="186"/>
      </rPr>
      <t>Stragnų g. (KL8470</t>
    </r>
    <r>
      <rPr>
        <sz val="8"/>
        <rFont val="Arial"/>
        <family val="2"/>
        <charset val="186"/>
      </rPr>
      <t xml:space="preserve">), </t>
    </r>
    <r>
      <rPr>
        <b/>
        <sz val="8"/>
        <rFont val="Arial"/>
        <family val="2"/>
        <charset val="186"/>
      </rPr>
      <t>Santakos</t>
    </r>
    <r>
      <rPr>
        <sz val="8"/>
        <rFont val="Arial"/>
        <family val="2"/>
        <charset val="186"/>
      </rPr>
      <t xml:space="preserve"> g. (KL1297 ir privažiuojamojo kelio prie Stragnų I nuo kelio KL1211 Stragnai-Ketvergiai kapitalinis remontas projektavimas, rangos darbai</t>
    </r>
  </si>
  <si>
    <t>6.4.1.17.</t>
  </si>
  <si>
    <t>6-2-2-7</t>
  </si>
  <si>
    <r>
      <t xml:space="preserve">Klaipėdos raj. Vėžaičių sen. </t>
    </r>
    <r>
      <rPr>
        <b/>
        <sz val="8"/>
        <rFont val="Arial"/>
        <family val="2"/>
        <charset val="186"/>
      </rPr>
      <t>Gerduvėnų k. Lukausko g.</t>
    </r>
    <r>
      <rPr>
        <sz val="8"/>
        <rFont val="Arial"/>
        <family val="2"/>
        <charset val="186"/>
      </rPr>
      <t xml:space="preserve"> (KL1808) kapitalinis remontas projektavimas, rangos darbai</t>
    </r>
  </si>
  <si>
    <t>6.4.1.18.</t>
  </si>
  <si>
    <t>6-2-2-8</t>
  </si>
  <si>
    <r>
      <t xml:space="preserve">Klaipėdos raj. Vėžaičių sen. </t>
    </r>
    <r>
      <rPr>
        <b/>
        <sz val="8"/>
        <rFont val="Arial"/>
        <family val="2"/>
        <charset val="186"/>
      </rPr>
      <t>Gerduvėnų k. Gerduvėnų g</t>
    </r>
    <r>
      <rPr>
        <sz val="8"/>
        <rFont val="Arial"/>
        <family val="2"/>
        <charset val="186"/>
      </rPr>
      <t>. (KL1840) kapitalinis remontas projektavimas, rangos darbai</t>
    </r>
  </si>
  <si>
    <t>6.4.1.19.</t>
  </si>
  <si>
    <t>6-2-2-9</t>
  </si>
  <si>
    <r>
      <t xml:space="preserve">Klaipėdos raj. Sendvario sen. Jakų k. </t>
    </r>
    <r>
      <rPr>
        <b/>
        <sz val="8"/>
        <rFont val="Arial"/>
        <family val="2"/>
        <charset val="186"/>
      </rPr>
      <t>Parko g.</t>
    </r>
    <r>
      <rPr>
        <sz val="8"/>
        <rFont val="Arial"/>
        <family val="2"/>
        <charset val="186"/>
      </rPr>
      <t>(KL8757) kapitalinis remontas projektavimas, rangos darbai</t>
    </r>
  </si>
  <si>
    <t>6.4.1.20.</t>
  </si>
  <si>
    <t>6-2-2-10</t>
  </si>
  <si>
    <r>
      <t>Klaipėdos raj. Dovilų sen.</t>
    </r>
    <r>
      <rPr>
        <b/>
        <sz val="8"/>
        <rFont val="Arial"/>
        <family val="2"/>
        <charset val="186"/>
      </rPr>
      <t>Kulių Dvaro g.(KL8215), Pakrantės g. (KL8218), Šienpjovių g. (KL8216) ir Tulpių g</t>
    </r>
    <r>
      <rPr>
        <sz val="8"/>
        <rFont val="Arial"/>
        <family val="2"/>
        <charset val="186"/>
      </rPr>
      <t>. (KL8217) rekonstravimas projektavimas</t>
    </r>
  </si>
  <si>
    <t>6.4.1.21.</t>
  </si>
  <si>
    <t>6-2-2-11</t>
  </si>
  <si>
    <r>
      <t xml:space="preserve">Klaipėdos raj. Kretingalės sen. </t>
    </r>
    <r>
      <rPr>
        <b/>
        <sz val="8"/>
        <rFont val="Arial"/>
        <family val="2"/>
        <charset val="186"/>
      </rPr>
      <t>Girkalių k. Nemirsetos g.</t>
    </r>
    <r>
      <rPr>
        <sz val="8"/>
        <rFont val="Arial"/>
        <family val="2"/>
        <charset val="186"/>
      </rPr>
      <t xml:space="preserve"> (KL1036) rekonstravimas projektavimas</t>
    </r>
  </si>
  <si>
    <t>6.4.1.22.</t>
  </si>
  <si>
    <t>6-2-2-12</t>
  </si>
  <si>
    <r>
      <t xml:space="preserve">Klaipėdos raj. Priekulės sen. </t>
    </r>
    <r>
      <rPr>
        <b/>
        <sz val="8"/>
        <rFont val="Arial"/>
        <family val="2"/>
        <charset val="186"/>
      </rPr>
      <t>Pangesų (KL1225), Pjaulių g. (KL1343) ir Pleškučių g</t>
    </r>
    <r>
      <rPr>
        <sz val="8"/>
        <rFont val="Arial"/>
        <family val="2"/>
        <charset val="186"/>
      </rPr>
      <t>. (KL1224) kapitalinis remontas projektavimas, rangos darbai</t>
    </r>
  </si>
  <si>
    <t>6.4.1.23.</t>
  </si>
  <si>
    <t>6-2-2-13</t>
  </si>
  <si>
    <r>
      <rPr>
        <b/>
        <sz val="8"/>
        <color rgb="FF000000"/>
        <rFont val="Arial"/>
        <family val="2"/>
        <charset val="186"/>
      </rPr>
      <t>Gargždų 51 kvartalo</t>
    </r>
    <r>
      <rPr>
        <sz val="8"/>
        <color rgb="FF000000"/>
        <rFont val="Arial"/>
        <family val="2"/>
        <charset val="186"/>
      </rPr>
      <t xml:space="preserve"> drenažo ir nuovažos projektavimas</t>
    </r>
  </si>
  <si>
    <t>6.1.1.3.</t>
  </si>
  <si>
    <t>Suprojektuotas privažiavimas prie sklypų, vnt.</t>
  </si>
  <si>
    <t>6-2-2-14</t>
  </si>
  <si>
    <r>
      <rPr>
        <sz val="8"/>
        <color rgb="FF000000"/>
        <rFont val="Arial"/>
        <family val="2"/>
        <charset val="186"/>
      </rPr>
      <t xml:space="preserve">Klaipėdos rajono, Dovilų sen., Dovilų mstl. </t>
    </r>
    <r>
      <rPr>
        <b/>
        <sz val="8"/>
        <color rgb="FF000000"/>
        <rFont val="Arial"/>
        <family val="2"/>
        <charset val="186"/>
      </rPr>
      <t xml:space="preserve">Kulių g. </t>
    </r>
    <r>
      <rPr>
        <sz val="8"/>
        <color rgb="FF000000"/>
        <rFont val="Arial"/>
        <family val="2"/>
        <charset val="186"/>
      </rPr>
      <t>(KL8274) (rangos darbai)</t>
    </r>
  </si>
  <si>
    <t>6.4.1.24.</t>
  </si>
  <si>
    <t>6-2-2-15</t>
  </si>
  <si>
    <r>
      <t xml:space="preserve">Klaipėdos rajono savivaldybės, </t>
    </r>
    <r>
      <rPr>
        <b/>
        <sz val="8"/>
        <color rgb="FF000000"/>
        <rFont val="Arial"/>
        <family val="2"/>
        <charset val="186"/>
      </rPr>
      <t>Dovilų sen., Laukų g. (Nr. KL8219) atkarpos nuo J. Basanavičiaus g. iki</t>
    </r>
    <r>
      <rPr>
        <sz val="8"/>
        <color rgb="FF000000"/>
        <rFont val="Arial"/>
        <family val="2"/>
        <charset val="186"/>
      </rPr>
      <t xml:space="preserve"> susikirtimo su keliu Nr. KL0423 rekonstrukcija</t>
    </r>
  </si>
  <si>
    <t>6.4.1.25.</t>
  </si>
  <si>
    <t>6-2-2-16</t>
  </si>
  <si>
    <r>
      <t xml:space="preserve">Klaipėdos r.Dauparų-Kvietinių sen. </t>
    </r>
    <r>
      <rPr>
        <b/>
        <sz val="8"/>
        <rFont val="Arial"/>
        <family val="2"/>
        <charset val="186"/>
      </rPr>
      <t>Statybininkų</t>
    </r>
    <r>
      <rPr>
        <sz val="8"/>
        <rFont val="Arial"/>
        <family val="2"/>
        <charset val="186"/>
      </rPr>
      <t xml:space="preserve"> g.(KL0223) rekonstravimas</t>
    </r>
  </si>
  <si>
    <t>6.4.1.26.</t>
  </si>
  <si>
    <t>Bus siekiama gauti finansavimą iš VBD</t>
  </si>
  <si>
    <t>6-2-2-17</t>
  </si>
  <si>
    <r>
      <t>Klaipėdos rajono Gargždų miesto</t>
    </r>
    <r>
      <rPr>
        <b/>
        <sz val="8"/>
        <rFont val="Arial"/>
        <family val="2"/>
        <charset val="186"/>
      </rPr>
      <t xml:space="preserve"> Gedimino g.</t>
    </r>
    <r>
      <rPr>
        <sz val="8"/>
        <rFont val="Arial"/>
        <family val="2"/>
        <charset val="186"/>
      </rPr>
      <t xml:space="preserve"> (Nr. KL8051), </t>
    </r>
    <r>
      <rPr>
        <b/>
        <sz val="8"/>
        <rFont val="Arial"/>
        <family val="2"/>
        <charset val="186"/>
      </rPr>
      <t xml:space="preserve">Palangos g. </t>
    </r>
    <r>
      <rPr>
        <sz val="8"/>
        <rFont val="Arial"/>
        <family val="2"/>
        <charset val="186"/>
      </rPr>
      <t xml:space="preserve">(KL8052), </t>
    </r>
    <r>
      <rPr>
        <b/>
        <sz val="8"/>
        <rFont val="Arial"/>
        <family val="2"/>
        <charset val="186"/>
      </rPr>
      <t>Saulažolių g</t>
    </r>
    <r>
      <rPr>
        <sz val="8"/>
        <rFont val="Arial"/>
        <family val="2"/>
        <charset val="186"/>
      </rPr>
      <t xml:space="preserve">. (Nr. KL8053), Vytenio g. (Nr. KL8054), </t>
    </r>
    <r>
      <rPr>
        <b/>
        <sz val="8"/>
        <rFont val="Arial"/>
        <family val="2"/>
        <charset val="186"/>
      </rPr>
      <t xml:space="preserve">Gargždupio g. </t>
    </r>
    <r>
      <rPr>
        <sz val="8"/>
        <rFont val="Arial"/>
        <family val="2"/>
        <charset val="186"/>
      </rPr>
      <t>(Nr. KL8055) ir</t>
    </r>
    <r>
      <rPr>
        <b/>
        <sz val="8"/>
        <rFont val="Arial"/>
        <family val="2"/>
        <charset val="186"/>
      </rPr>
      <t xml:space="preserve"> Žibučių g</t>
    </r>
    <r>
      <rPr>
        <sz val="8"/>
        <rFont val="Arial"/>
        <family val="2"/>
        <charset val="186"/>
      </rPr>
      <t>. (Nr. KL8056) (rangos darbai)</t>
    </r>
  </si>
  <si>
    <t>6.4.1.27.</t>
  </si>
  <si>
    <t>6-2-2-18</t>
  </si>
  <si>
    <r>
      <t>Klaipėdos rajono Sendvario sen.</t>
    </r>
    <r>
      <rPr>
        <b/>
        <sz val="8"/>
        <rFont val="Arial"/>
        <family val="2"/>
        <charset val="186"/>
      </rPr>
      <t xml:space="preserve"> Mazūriškių k. Stonės g. (Nr. KL1407) ir Gvildžių k.Vėtrungių g.</t>
    </r>
    <r>
      <rPr>
        <sz val="8"/>
        <rFont val="Arial"/>
        <family val="2"/>
        <charset val="186"/>
      </rPr>
      <t xml:space="preserve"> (Nr. KL1456) kapitalinis remontas</t>
    </r>
  </si>
  <si>
    <t>6.4.1.28.</t>
  </si>
  <si>
    <t>6-2-2-19</t>
  </si>
  <si>
    <r>
      <t xml:space="preserve">Klaipėdos rajono Dovilų senūnijos vietinės reikšmės kelio Nr. KL0401 </t>
    </r>
    <r>
      <rPr>
        <b/>
        <sz val="8"/>
        <rFont val="Arial"/>
        <family val="2"/>
        <charset val="186"/>
      </rPr>
      <t>Rimkai - Lėbartai - Dovilai</t>
    </r>
    <r>
      <rPr>
        <sz val="8"/>
        <rFont val="Arial"/>
        <family val="2"/>
        <charset val="186"/>
      </rPr>
      <t xml:space="preserve"> (atkarpos nuo 0,00 iki 2,2 km) (kapitalinio remonto projekto parengimas ir ranga)</t>
    </r>
  </si>
  <si>
    <t>6.4.1.29.</t>
  </si>
  <si>
    <t>6-2-2-20</t>
  </si>
  <si>
    <r>
      <t xml:space="preserve">CPO Klaipėdos raj. Kretingalės sen. </t>
    </r>
    <r>
      <rPr>
        <b/>
        <sz val="8"/>
        <rFont val="Arial"/>
        <family val="2"/>
        <charset val="186"/>
      </rPr>
      <t>Karklė, Karklininkų g</t>
    </r>
    <r>
      <rPr>
        <sz val="8"/>
        <rFont val="Arial"/>
        <family val="2"/>
        <charset val="186"/>
      </rPr>
      <t>. KL8896 rekonstravimo techninio darbo projekto parengimo ir projekto vykdymo priežiūra ir rangos darbai</t>
    </r>
  </si>
  <si>
    <t>6.4.1.30.</t>
  </si>
  <si>
    <t>6-2-2-21</t>
  </si>
  <si>
    <r>
      <rPr>
        <b/>
        <sz val="8"/>
        <rFont val="Arial"/>
        <family val="2"/>
        <charset val="186"/>
      </rPr>
      <t>Priekulės sen., Mickų k., Vaškių k. ir Kliošių k.,Vaškių g</t>
    </r>
    <r>
      <rPr>
        <sz val="8"/>
        <rFont val="Arial"/>
        <family val="2"/>
        <charset val="186"/>
      </rPr>
      <t>. (KL1266) kapitalinio remonto darbai</t>
    </r>
  </si>
  <si>
    <t>6.4.1.31.</t>
  </si>
  <si>
    <t>6-2-2-22</t>
  </si>
  <si>
    <r>
      <rPr>
        <b/>
        <sz val="8"/>
        <color rgb="FF000000"/>
        <rFont val="Arial"/>
        <family val="2"/>
        <charset val="186"/>
      </rPr>
      <t xml:space="preserve">Bičiulių g. KL8714 Budrikų k., </t>
    </r>
    <r>
      <rPr>
        <sz val="8"/>
        <color rgb="FF000000"/>
        <rFont val="Arial"/>
        <family val="2"/>
        <charset val="186"/>
      </rPr>
      <t>Sendvario sen. projektavimas ir ranga</t>
    </r>
  </si>
  <si>
    <t>6.4.1.32.</t>
  </si>
  <si>
    <t>Š. Čičinis. E. Vasylienė</t>
  </si>
  <si>
    <t>Parengtas projektas, vnt</t>
  </si>
  <si>
    <t>6-2-2-23</t>
  </si>
  <si>
    <r>
      <t xml:space="preserve">Klaipėdos raj., </t>
    </r>
    <r>
      <rPr>
        <b/>
        <sz val="8"/>
        <rFont val="Arial"/>
        <family val="2"/>
        <charset val="186"/>
      </rPr>
      <t>Priekulės sen. Rokų g. (Nr. KL8471), Butkų g. (Nr. KL1341) ir Santakos g</t>
    </r>
    <r>
      <rPr>
        <sz val="8"/>
        <rFont val="Arial"/>
        <family val="2"/>
        <charset val="186"/>
      </rPr>
      <t>. (Nr. KL1297) kapitalinis remontas projektavimas, ekspertizė</t>
    </r>
  </si>
  <si>
    <t>6.4.1.33.</t>
  </si>
  <si>
    <t>6-2-2-24</t>
  </si>
  <si>
    <r>
      <rPr>
        <sz val="8"/>
        <color rgb="FF000000"/>
        <rFont val="Arial"/>
        <family val="2"/>
        <charset val="186"/>
      </rPr>
      <t xml:space="preserve">Klaipėdos raj. Kretingalės sen. Kalotės k. </t>
    </r>
    <r>
      <rPr>
        <b/>
        <sz val="8"/>
        <color rgb="FF000000"/>
        <rFont val="Arial"/>
        <family val="2"/>
        <charset val="186"/>
      </rPr>
      <t xml:space="preserve">Malūnų </t>
    </r>
    <r>
      <rPr>
        <sz val="8"/>
        <color rgb="FF000000"/>
        <rFont val="Arial"/>
        <family val="2"/>
        <charset val="186"/>
      </rPr>
      <t>g. (Nr. KL8796) rekonstravimas</t>
    </r>
  </si>
  <si>
    <t>6.4.1.43.</t>
  </si>
  <si>
    <t>6-2-2-25</t>
  </si>
  <si>
    <r>
      <rPr>
        <sz val="8"/>
        <color rgb="FF000000"/>
        <rFont val="Arial"/>
        <family val="2"/>
        <charset val="186"/>
      </rPr>
      <t xml:space="preserve">Klaipėdos raj. Kretingalės sen. </t>
    </r>
    <r>
      <rPr>
        <b/>
        <sz val="8"/>
        <color rgb="FF000000"/>
        <rFont val="Arial"/>
        <family val="2"/>
        <charset val="186"/>
      </rPr>
      <t xml:space="preserve">Vasaros </t>
    </r>
    <r>
      <rPr>
        <sz val="8"/>
        <color rgb="FF000000"/>
        <rFont val="Arial"/>
        <family val="2"/>
        <charset val="186"/>
      </rPr>
      <t>g. (KL8869) rekonstravimas</t>
    </r>
  </si>
  <si>
    <t>6.4.1.44.</t>
  </si>
  <si>
    <t>6-2-2-26</t>
  </si>
  <si>
    <r>
      <rPr>
        <sz val="8"/>
        <color rgb="FF000000"/>
        <rFont val="Arial"/>
        <family val="2"/>
        <charset val="186"/>
      </rPr>
      <t xml:space="preserve">Klaipėdos raj.sav Endriejavo sen. Endriejavo mstl. </t>
    </r>
    <r>
      <rPr>
        <b/>
        <sz val="8"/>
        <color rgb="FF000000"/>
        <rFont val="Arial"/>
        <family val="2"/>
        <charset val="186"/>
      </rPr>
      <t xml:space="preserve">Naujokų </t>
    </r>
    <r>
      <rPr>
        <sz val="8"/>
        <color rgb="FF000000"/>
        <rFont val="Arial"/>
        <family val="2"/>
        <charset val="186"/>
      </rPr>
      <t>g. (KL8566)</t>
    </r>
  </si>
  <si>
    <t>6.4.1.45.</t>
  </si>
  <si>
    <t>6-2-2-27</t>
  </si>
  <si>
    <t>Rezervas skiriamas apmokėti už nenumatytus darbus, atsirandančius ilgalaikių objektų vykdymo sutartyse numatytų darbų vykdymo metu</t>
  </si>
  <si>
    <t>6.1.4.11.</t>
  </si>
  <si>
    <t>6-2-3</t>
  </si>
  <si>
    <t>Įgyvendinti atskiras eismo saugumo priemones</t>
  </si>
  <si>
    <t>6-2-3-1</t>
  </si>
  <si>
    <t>Saugaus eismo priemonių užtikrinimas (pagal Saugaus eismo komisijos sprendimus)</t>
  </si>
  <si>
    <t>6.1.1.9.</t>
  </si>
  <si>
    <t>Organizuoti darbus pagal Saugaus eismo komisijos sprendimus, panaudotų lėšų dalis, proc.</t>
  </si>
  <si>
    <t>Atlikta kelio ženklų fiksacija žemėlapyje, vnt.</t>
  </si>
  <si>
    <t>6-2-3-2</t>
  </si>
  <si>
    <t>Gargždų miesto šviesoforų techninė priežiūra, rekonstrukcija</t>
  </si>
  <si>
    <t>6.1.1.37.</t>
  </si>
  <si>
    <t>Priežiūra</t>
  </si>
  <si>
    <t>Gargždų seniūnija, 
V. Žigus</t>
  </si>
  <si>
    <t>Prižiūrėti šviesoforai, vnt.</t>
  </si>
  <si>
    <t>Rekonstrukcija Klaipėdos ir Basanavičiaus g.</t>
  </si>
  <si>
    <t>6-2-3-3</t>
  </si>
  <si>
    <t>Automobilių stovėjimo rinkliavos rinkimo ir administravimo paslaugos vykdymas</t>
  </si>
  <si>
    <t>6.1.1.38.</t>
  </si>
  <si>
    <t>Suorganizuotas automobilių stovėjimo rinkliavos rinkimas ir administravimas, proc.</t>
  </si>
  <si>
    <t>6-3 Uždavinys: Modernizuoti Klaipėdos rajono savivaldybės kelius ir kitą viešąją infrastruktūrą</t>
  </si>
  <si>
    <t>6-3-1</t>
  </si>
  <si>
    <t>Prisidėjimas prie AB "VIA Lietuva" pirmumo teise įgyvendinamų projektų rajone ir techninių projektų parengimas</t>
  </si>
  <si>
    <t>6.1.4.15.</t>
  </si>
  <si>
    <t>6-3-1-2</t>
  </si>
  <si>
    <t>Valstybinės reikšmės rajoninio kelio Nr. 2212 Klaipėda–Radailiai–Kretinga ruožo nuo 4,800 iki 11,500 km kapitalinis remontas, įrengiant takus, apšvietimą ir inžinerines eismo saugos priemones</t>
  </si>
  <si>
    <t>6-3-1-4</t>
  </si>
  <si>
    <t>Autobusų stotelių ir pesčiųjų perėjų projektavimas ir įrengimas Klaipėdos rajone (prie AB "VIA Lietuva" kelių)</t>
  </si>
  <si>
    <t>6.4.1.46.</t>
  </si>
  <si>
    <t xml:space="preserve">Įrengtos stotelės, vnt. </t>
  </si>
  <si>
    <t>Sendvario seniūnija,
K. Novikova</t>
  </si>
  <si>
    <t>Atlikta Vasaros stotelės projekto ekspertizė, vnt.
Atlikti stotelės ties Agilos-Smeltaitės g. sankryža projektavimo darbai, proc.</t>
  </si>
  <si>
    <t>1
100</t>
  </si>
  <si>
    <t>6-3-2</t>
  </si>
  <si>
    <t>Elektromobilių įkrovimo prieigų įrengimas ir priežiūra</t>
  </si>
  <si>
    <t>6.1.4.18.</t>
  </si>
  <si>
    <t>6-3-2-1</t>
  </si>
  <si>
    <t>Esamų elektromobilių įkrovimo stotelių priežiūra</t>
  </si>
  <si>
    <t>Prižiūrimos esamos stotelės, vnt.</t>
  </si>
  <si>
    <t>6-3-2-2</t>
  </si>
  <si>
    <t>Gargždų autobusų stoties didelio galingumo stotelių įrengimas</t>
  </si>
  <si>
    <t xml:space="preserve">Gargždų </t>
  </si>
  <si>
    <t>6-3-2-3</t>
  </si>
  <si>
    <t>Elektromobilių įkrovimo stotelės įrengimas Placio g., Karklės k.</t>
  </si>
  <si>
    <t>Įrengta didelio galingumo pakrovimo stotelė, vnt.</t>
  </si>
  <si>
    <t>6-4 Uždavinys: Modernizuoti apšvietimo sistemą Klaipėdos rajone</t>
  </si>
  <si>
    <t>6-4-1</t>
  </si>
  <si>
    <t>Atnaujinti ir įrengti apšvietimo sistemą Gargžduose ir Klaipėdos rajono gyvenvietėse</t>
  </si>
  <si>
    <t>6-4-1-1</t>
  </si>
  <si>
    <t>Naujų vartotojų elektros įrenginių prijungimas prie operatoriaus tinklų</t>
  </si>
  <si>
    <t>6.2.1.7.</t>
  </si>
  <si>
    <t>Pagal poreikį vykdyti prijungimus, panaudotų lėšų dalis, proc.</t>
  </si>
  <si>
    <t>6-4-1-2</t>
  </si>
  <si>
    <t>Klaipėdos rajono seniūnijų gatvių apšvietimo sistemų palaikymas</t>
  </si>
  <si>
    <t>6.2.1.29</t>
  </si>
  <si>
    <t>Organizuoti ir kontroliuoti rangos darbus seniūnijose prie švietimo įstaigų, pavojinguose kelių ir gatvių ruožuose, prie socialinių objektų, panaudotų lėšų dalis, proc.</t>
  </si>
  <si>
    <t>6-4-1-3</t>
  </si>
  <si>
    <t>Klaipėdos rajono seniūnijų gatvių apšvietimo sistemų  plėtra</t>
  </si>
  <si>
    <t>6.4.1.47.</t>
  </si>
  <si>
    <t xml:space="preserve">Sumokėta įmoka, proc. </t>
  </si>
  <si>
    <t>6-4-2</t>
  </si>
  <si>
    <t>Užtikrinti gatvių apšvietimo infrastruktūros priežiūrą Klaipėdos rajono seniūnijose</t>
  </si>
  <si>
    <t>6-4-2-1</t>
  </si>
  <si>
    <t>Agluonėnų seniūnijos gatvių apšvietimas</t>
  </si>
  <si>
    <t>6.2.2.1.25.</t>
  </si>
  <si>
    <t>A. Žilienė</t>
  </si>
  <si>
    <t>Prižiūrėtų šviestuvų skaičius, vnt.</t>
  </si>
  <si>
    <t>6-4-2-2</t>
  </si>
  <si>
    <t>Dauparų-Kvietinių seniūnijos gatvių apšvietimas</t>
  </si>
  <si>
    <t>6.2.2.2.26.</t>
  </si>
  <si>
    <t>6-4-2-3</t>
  </si>
  <si>
    <t>Dovilų seniūnijos gatvių apšvietimas</t>
  </si>
  <si>
    <t>6.2.2.3.27.</t>
  </si>
  <si>
    <t>N. Ilginienė</t>
  </si>
  <si>
    <t>6-4-2-4</t>
  </si>
  <si>
    <t>Endriejavo seniūnijos gatvių apšvietimas</t>
  </si>
  <si>
    <t>6.2.2.4.28.</t>
  </si>
  <si>
    <t>S. Bakšinskis</t>
  </si>
  <si>
    <t>6-4-2-5</t>
  </si>
  <si>
    <t>Gargždų seniūnijos gatvių apšvietimas</t>
  </si>
  <si>
    <t>6.2.2.5.29.</t>
  </si>
  <si>
    <t>6-4-2-6</t>
  </si>
  <si>
    <t>Judrėnų seniūnijos gatvių apšvietimas</t>
  </si>
  <si>
    <t>6.2.2.6.30.</t>
  </si>
  <si>
    <t>Z. Siminauskas</t>
  </si>
  <si>
    <t>6-4-2-7</t>
  </si>
  <si>
    <t>Kretingalės seniūnijos gatvių apšvietimas</t>
  </si>
  <si>
    <t>6.2.2.7.31.</t>
  </si>
  <si>
    <t>A. Monstavičienė</t>
  </si>
  <si>
    <t>6-4-2-8</t>
  </si>
  <si>
    <t>Priekulės seniūnijos gatvių apšvietimas</t>
  </si>
  <si>
    <t>6.2.2.8.32.</t>
  </si>
  <si>
    <t>D. Bliūdžiuvienė, R. Narkienė</t>
  </si>
  <si>
    <t>6-4-2-9</t>
  </si>
  <si>
    <t>Sendvario seniūnijos gatvių apšvietimas</t>
  </si>
  <si>
    <t>6.2.2.9.33.</t>
  </si>
  <si>
    <t>G. Girdvainis</t>
  </si>
  <si>
    <t>6-4-2-10</t>
  </si>
  <si>
    <t>Veiviržėnų seniūnijos gatvių apšvietimas</t>
  </si>
  <si>
    <t>6.2.2.10.34</t>
  </si>
  <si>
    <t>E. Sluckienė</t>
  </si>
  <si>
    <t>6-4-2-11</t>
  </si>
  <si>
    <t>Vėžaičių seniūnijos gatvių apšvietimas</t>
  </si>
  <si>
    <t>6.2.2.11.35.</t>
  </si>
  <si>
    <t>R. Bernotas</t>
  </si>
  <si>
    <t>6-5 Uždavinys: Prižiūrėti ir gerinti kitą Klaipėdos rajono inžinerinę infrastruktūrą</t>
  </si>
  <si>
    <t>6-5-1</t>
  </si>
  <si>
    <t>Gerinti sodų bendrijų viešąją infrastruktūrą</t>
  </si>
  <si>
    <t>6-5-1-1</t>
  </si>
  <si>
    <t>Klaipėdos rajono sodininkų bendrijų specialiosios programos įgyvendinimas</t>
  </si>
  <si>
    <t>6.3.1.1.</t>
  </si>
  <si>
    <t>Sodininkų bendrijų išnagrinėtos praiškos, vnt.</t>
  </si>
  <si>
    <t>6-5-2</t>
  </si>
  <si>
    <t>Užtikrinti keleivių pervežimą viešuoju transportu</t>
  </si>
  <si>
    <t>6-5-2-1</t>
  </si>
  <si>
    <t>Subsidija vežėjų nuostoliams kompensuoti (dotacija)</t>
  </si>
  <si>
    <t>6.3.3.1.</t>
  </si>
  <si>
    <t>Kompensuoti vežėjų nuostoliai, proc.</t>
  </si>
  <si>
    <t>6-5-2-3</t>
  </si>
  <si>
    <t>Autobusų paviljonų įrengimas Klaipėdos rajone</t>
  </si>
  <si>
    <t>6.3.3.3.</t>
  </si>
  <si>
    <t xml:space="preserve">Pastatyti paviljonai, vnt. </t>
  </si>
  <si>
    <t>6-5-2-4</t>
  </si>
  <si>
    <t>Projektas "Integruotos viešojo transporto sistemos diegimas Klaipėdos rajone"</t>
  </si>
  <si>
    <t>6.3.3.4.</t>
  </si>
  <si>
    <t>KKP</t>
  </si>
  <si>
    <t>6-5-4</t>
  </si>
  <si>
    <t xml:space="preserve">Dviračių ir pėsčiųjų takų plėtra ir remontas </t>
  </si>
  <si>
    <t>6-5-4-1</t>
  </si>
  <si>
    <r>
      <t>G</t>
    </r>
    <r>
      <rPr>
        <b/>
        <sz val="8"/>
        <rFont val="Arial"/>
        <family val="2"/>
        <charset val="186"/>
      </rPr>
      <t>argždų miesto dviračių infrastruktūros plėtra</t>
    </r>
    <r>
      <rPr>
        <sz val="8"/>
        <rFont val="Arial"/>
        <family val="2"/>
        <charset val="186"/>
      </rPr>
      <t xml:space="preserve"> pagal  Gargždų miesto dviračių transporto infrastruktūros plėtros planą.</t>
    </r>
  </si>
  <si>
    <t>6.4.1.3.</t>
  </si>
  <si>
    <t>Š. Čičinis, J. Jackus</t>
  </si>
  <si>
    <t>Įvykdyti  rangos darbai, proc.</t>
  </si>
  <si>
    <t>6.4.1.3.29.</t>
  </si>
  <si>
    <t>Nupirkta Melioratorių g. dviračių takų projekto korektūra, vnt.</t>
  </si>
  <si>
    <t>6-5-4-2</t>
  </si>
  <si>
    <t>Dviračių ir pėsčiųjų takų įrengimas pagal Ekonomikos gaivinimo ir atsparumo didinimo priemonės (EGADP) lėšas</t>
  </si>
  <si>
    <t>9, 9.1</t>
  </si>
  <si>
    <t>6.1.4.20.</t>
  </si>
  <si>
    <t>Įrengtas Gargždų Melioratorių g. (KL7030), Janonio g.,  Kastyčio g. (KL7032), Vingio g., Smėlio g. dviračių ir pėsčiųjų takas, km</t>
  </si>
  <si>
    <t>Atliktas Kuršlaukio g., Gargždų m. dviračių tako remontas, km</t>
  </si>
  <si>
    <t>6-5-4-3</t>
  </si>
  <si>
    <t>Klaipėdos rajono dviračių ir pėsčiųjų takų infrastruktūros atnaujinimas, remontas, plėtra</t>
  </si>
  <si>
    <t xml:space="preserve">6.1.4.21. </t>
  </si>
  <si>
    <t>Klaipėdos rajono dviračių ir pėsčiųjų takų projektavimo ir įrengimo darbai, vnt.</t>
  </si>
  <si>
    <t>6-5-4-4</t>
  </si>
  <si>
    <t>Dviračių ir pėsčiųjų takų remontas ir statyba prie AB "Via Lietuva" kelių</t>
  </si>
  <si>
    <t xml:space="preserve">6.1.4.22. </t>
  </si>
  <si>
    <t xml:space="preserve">Parengti priešprojektiniai pasiūlymai dėl Vėžaičių mst. pėsčiųjų tako statybos Gargždų g. nuo Samališkės iki Užtvankos g., vnt.; 227 dviračių tako remontas Gargždų mieste; Priekulės Pamarių g. tako remontas; </t>
  </si>
  <si>
    <t>6-5-4-5</t>
  </si>
  <si>
    <t>Pajūrio regioninio parko teritorija einančios tarptautinės dviračių trasos "Eurovelo 10" dalies, esančios Klaipėdos r. sav. teritorijoje, paprastasis remontas</t>
  </si>
  <si>
    <t>6.1.4.23.</t>
  </si>
  <si>
    <t>6-5-4-6</t>
  </si>
  <si>
    <t>Valstybinės reikšmės tarptautinės dviračių trasos R3  atkarpos nuo Klaipėdos miesto savivaldybės ribos iki Šilutės rajono savivaldybės ribos plėtra.</t>
  </si>
  <si>
    <t>6.4.1.48.</t>
  </si>
  <si>
    <t>Atlikti projektavimo darbai, vnt.</t>
  </si>
  <si>
    <t>6-6 Uždavinys: Modernizuoti bei plėtoti vandens tiekimo, buitinių nuotekų bei paviršinių nuotekų tvarkymo infrastruktūrą Klaipėdos rajone</t>
  </si>
  <si>
    <t>6-6-1</t>
  </si>
  <si>
    <r>
      <t xml:space="preserve">Modernizuoti </t>
    </r>
    <r>
      <rPr>
        <b/>
        <sz val="8"/>
        <rFont val="Arial"/>
        <family val="2"/>
        <charset val="186"/>
      </rPr>
      <t>vandens tiekimo</t>
    </r>
    <r>
      <rPr>
        <sz val="8"/>
        <rFont val="Arial"/>
        <family val="2"/>
        <charset val="186"/>
      </rPr>
      <t xml:space="preserve"> ir buitinių </t>
    </r>
    <r>
      <rPr>
        <b/>
        <sz val="8"/>
        <rFont val="Arial"/>
        <family val="2"/>
        <charset val="186"/>
      </rPr>
      <t>nuotekų</t>
    </r>
    <r>
      <rPr>
        <sz val="8"/>
        <rFont val="Arial"/>
        <family val="2"/>
        <charset val="186"/>
      </rPr>
      <t xml:space="preserve"> tvarkymo infrastruktūrą</t>
    </r>
  </si>
  <si>
    <t>ES (Kt)</t>
  </si>
  <si>
    <t>6-6-1-1</t>
  </si>
  <si>
    <t>Vandentiekio ir buitinių nuotekų tinklų Smeltaitės gatvėje (nuo Sniego g. iki A. Bruožio g.,), Klemiškės II k., Sendvario sen., Klaipėdos r. sav., statybos projektas</t>
  </si>
  <si>
    <t>9.2</t>
  </si>
  <si>
    <t>3.1.1.81.</t>
  </si>
  <si>
    <t>AB "Klaipėdos vanduo"</t>
  </si>
  <si>
    <t>6-6-1-2</t>
  </si>
  <si>
    <t>Svencelės/Drevernos gyvenviečių NV plėtra (I etapas)</t>
  </si>
  <si>
    <t xml:space="preserve">Priekulės </t>
  </si>
  <si>
    <t xml:space="preserve">Pervestos lėšos, proc. </t>
  </si>
  <si>
    <t>6-6-1-3</t>
  </si>
  <si>
    <t>Klaipėdos raj. vandens ruošyklų statyba (Svencelės VGĮ)</t>
  </si>
  <si>
    <t>6-6-1-4</t>
  </si>
  <si>
    <r>
      <t xml:space="preserve">Buitinių nuotekų tinklų Žemaičių g., Liepų g., Paežerio g., Pievų g., Kalno g., </t>
    </r>
    <r>
      <rPr>
        <b/>
        <sz val="8"/>
        <rFont val="Arial"/>
        <family val="2"/>
        <charset val="186"/>
      </rPr>
      <t>Endriejavo mst.</t>
    </r>
    <r>
      <rPr>
        <sz val="8"/>
        <rFont val="Arial"/>
        <family val="2"/>
        <charset val="186"/>
      </rPr>
      <t xml:space="preserve"> Klaipėdos raj. sav. statybos ir rekonstravimo</t>
    </r>
  </si>
  <si>
    <t>6-6-1-5</t>
  </si>
  <si>
    <r>
      <t xml:space="preserve">Buitinių nuotekų tinklų projektavimas ir statyba </t>
    </r>
    <r>
      <rPr>
        <b/>
        <sz val="8"/>
        <rFont val="Arial"/>
        <family val="2"/>
        <charset val="186"/>
      </rPr>
      <t xml:space="preserve">Girininkų </t>
    </r>
    <r>
      <rPr>
        <sz val="8"/>
        <rFont val="Arial"/>
        <family val="2"/>
        <charset val="186"/>
      </rPr>
      <t>k.</t>
    </r>
  </si>
  <si>
    <t>6-6-1-6</t>
  </si>
  <si>
    <r>
      <t>Nuotekų šalinimo tinklų ir vandentiekio tinklų nauja statyba Globėjų g., Knygnešių g., Mykolo Vaitkaus g., Tvenkinio g., Gulbių g., Gargžduose (</t>
    </r>
    <r>
      <rPr>
        <b/>
        <sz val="8"/>
        <rFont val="Arial"/>
        <family val="2"/>
        <charset val="186"/>
      </rPr>
      <t>176 gyv. namų kvartale)</t>
    </r>
  </si>
  <si>
    <t>F. Žemgulys, AB "Klaipėdos vanduo"</t>
  </si>
  <si>
    <t>Atlikta tinklų statyba, proc.</t>
  </si>
  <si>
    <t>6-6-1-7</t>
  </si>
  <si>
    <t>Vandentiekio ir buitinių nuotekų šalinimo, tinklų įrengimo galimybių studijos parengimas Derceklių, Lingių k. ir aplinkinėse teritorijose</t>
  </si>
  <si>
    <t>6-6-1-8</t>
  </si>
  <si>
    <r>
      <t xml:space="preserve">Buitinių nuotekų valymo įrenginio socialiniam būstui projektavimo ir statybos darbai Pėžaičių g. 18, </t>
    </r>
    <r>
      <rPr>
        <b/>
        <sz val="8"/>
        <rFont val="Arial"/>
        <family val="2"/>
        <charset val="186"/>
      </rPr>
      <t xml:space="preserve">Pėžaičių </t>
    </r>
    <r>
      <rPr>
        <sz val="8"/>
        <rFont val="Arial"/>
        <family val="2"/>
        <charset val="186"/>
      </rPr>
      <t>k.</t>
    </r>
  </si>
  <si>
    <t>Įrengti tinklai, proc.</t>
  </si>
  <si>
    <t>6-6-1-10</t>
  </si>
  <si>
    <r>
      <t xml:space="preserve">Vandens tiekimo įrenginių bei vandentiekio tinklų perdavimas AB "Klaipėdos vanduo", statyba ir rekonstrukcija </t>
    </r>
    <r>
      <rPr>
        <b/>
        <sz val="8"/>
        <rFont val="Arial"/>
        <family val="2"/>
        <charset val="186"/>
      </rPr>
      <t xml:space="preserve">Venckų </t>
    </r>
    <r>
      <rPr>
        <sz val="8"/>
        <rFont val="Arial"/>
        <family val="2"/>
        <charset val="186"/>
      </rPr>
      <t>k.</t>
    </r>
  </si>
  <si>
    <t>6-6-1-11</t>
  </si>
  <si>
    <r>
      <rPr>
        <sz val="8"/>
        <color rgb="FF000000"/>
        <rFont val="Arial"/>
        <family val="2"/>
        <charset val="186"/>
      </rPr>
      <t xml:space="preserve">Vandentiekio ir buitinių nuotekų tinklų statyba </t>
    </r>
    <r>
      <rPr>
        <b/>
        <sz val="8"/>
        <color rgb="FF000000"/>
        <rFont val="Arial"/>
        <family val="2"/>
        <charset val="186"/>
      </rPr>
      <t>Jaunimo parke</t>
    </r>
    <r>
      <rPr>
        <sz val="8"/>
        <color rgb="FF000000"/>
        <rFont val="Arial"/>
        <family val="2"/>
        <charset val="186"/>
      </rPr>
      <t xml:space="preserve"> (moduliniams pastatams)</t>
    </r>
  </si>
  <si>
    <t>6-6-1-12</t>
  </si>
  <si>
    <t>Vandentiekio ir buitinių nuotekų tinklų statyba Veiviržėnų ambulatorijos pastatui</t>
  </si>
  <si>
    <t>Vykdomi projektavimo ir statybos darbai, proc.</t>
  </si>
  <si>
    <t>6-6-2</t>
  </si>
  <si>
    <r>
      <rPr>
        <sz val="8"/>
        <color rgb="FF000000"/>
        <rFont val="Arial"/>
        <family val="2"/>
        <charset val="186"/>
      </rPr>
      <t xml:space="preserve">Prižiūrėti esamą ir planuoti naują </t>
    </r>
    <r>
      <rPr>
        <b/>
        <sz val="8"/>
        <color rgb="FF000000"/>
        <rFont val="Arial"/>
        <family val="2"/>
        <charset val="186"/>
      </rPr>
      <t xml:space="preserve">paviršinių </t>
    </r>
    <r>
      <rPr>
        <sz val="8"/>
        <color rgb="FF000000"/>
        <rFont val="Arial"/>
        <family val="2"/>
        <charset val="186"/>
      </rPr>
      <t>nuotekų infrastruktūrą</t>
    </r>
  </si>
  <si>
    <t>6-6-2-2</t>
  </si>
  <si>
    <r>
      <rPr>
        <sz val="8"/>
        <color rgb="FF000000"/>
        <rFont val="Arial"/>
        <family val="2"/>
        <charset val="186"/>
      </rPr>
      <t xml:space="preserve">Klaipėdos rajono </t>
    </r>
    <r>
      <rPr>
        <b/>
        <sz val="8"/>
        <color rgb="FF000000"/>
        <rFont val="Arial"/>
        <family val="2"/>
        <charset val="186"/>
      </rPr>
      <t xml:space="preserve">paviršinių nuotekų </t>
    </r>
    <r>
      <rPr>
        <sz val="8"/>
        <color rgb="FF000000"/>
        <rFont val="Arial"/>
        <family val="2"/>
        <charset val="186"/>
      </rPr>
      <t xml:space="preserve">infrastruktūros </t>
    </r>
    <r>
      <rPr>
        <b/>
        <sz val="8"/>
        <color rgb="FF000000"/>
        <rFont val="Arial"/>
        <family val="2"/>
        <charset val="186"/>
      </rPr>
      <t>projektavimas</t>
    </r>
  </si>
  <si>
    <t>3.1.1.75</t>
  </si>
  <si>
    <t>6-6-2-2-1</t>
  </si>
  <si>
    <t>Gargždų miesto Dariaus ir Girėno g., Pušų g., Vingio g. paviršinių nuotekų šalinimo tinklų projektavimas</t>
  </si>
  <si>
    <t>Įvykdyti projektavimo darbai, gautas statybą leidžiantis dokumentas, vnt</t>
  </si>
  <si>
    <t>6-6-2-2-6</t>
  </si>
  <si>
    <t>Paviršinių nuotekų šalinimo tinklų nauja statyba Jakų k. Šviesos g., Kaštonų g., Vilties g. projekto parengimas</t>
  </si>
  <si>
    <t>6-6-2-2-7</t>
  </si>
  <si>
    <t>Paviršinių nuotekų šalinimo tinklų nauja statyba Lapių k. Žvelsos g. projekto parengimas</t>
  </si>
  <si>
    <t>6-6-2-2-8</t>
  </si>
  <si>
    <t>Paviršinių nuotekų šalinimo tinklų nauja statyba Slengių k. Lietaus ir Ežero g. projekto parengimas</t>
  </si>
  <si>
    <t>6-6-2-2-9</t>
  </si>
  <si>
    <t>Paviršinių nuotekų šalinimo tinklų nauja statyba Agluonėnų mstl. Ievos Simonaitytės g. projekto parengimas</t>
  </si>
  <si>
    <t>Savivaldybės administracijos išlaidos apmokant UAB „Klaipėdos rajono energija“ už Klaipėdos rajono savivaldybės objektų ir bendrojo naudojimo teritorijų paviršinių nuotekų tvarkymą.</t>
  </si>
  <si>
    <t>3.1.1.77</t>
  </si>
  <si>
    <t>Prižiūrimi tinklai, km</t>
  </si>
  <si>
    <t>6-6-2-3</t>
  </si>
  <si>
    <r>
      <t xml:space="preserve">Klaipėdos rajono teritorijos </t>
    </r>
    <r>
      <rPr>
        <b/>
        <sz val="8"/>
        <rFont val="Arial"/>
        <family val="2"/>
        <charset val="186"/>
      </rPr>
      <t>paviršinių  nuotekų</t>
    </r>
    <r>
      <rPr>
        <sz val="8"/>
        <rFont val="Arial"/>
        <family val="2"/>
        <charset val="186"/>
      </rPr>
      <t xml:space="preserve"> infrastruktūros </t>
    </r>
    <r>
      <rPr>
        <b/>
        <sz val="8"/>
        <rFont val="Arial"/>
        <family val="2"/>
        <charset val="186"/>
      </rPr>
      <t>statyba</t>
    </r>
  </si>
  <si>
    <t>3.1.1.79</t>
  </si>
  <si>
    <t>6-6-2-3-2</t>
  </si>
  <si>
    <t>Paviršinių nuotekų šalinimo tinklų įrengimas Ketvergių k. (I ir II projekto etapų įgyvendinimas)</t>
  </si>
  <si>
    <t>Atlikti ir įforminti darbai, proc.</t>
  </si>
  <si>
    <t>3.1.1.79.32.</t>
  </si>
  <si>
    <t>6-6-2-3-5</t>
  </si>
  <si>
    <t>Paviršinių nuotekų šalinimo tinklų statyba ir gatvių remontas Gargždų m. Laugalių ir Aleksandro Lengvino g. sankryžoje, Pasienio g. dalyje</t>
  </si>
  <si>
    <t>6-6-2-3-6</t>
  </si>
  <si>
    <t>Gargždų miesto Dariaus ir Girėno g., Pušų g., Vingio g. paviršinių nuotekų šalinimo tinklų statyba</t>
  </si>
  <si>
    <t>Atlikti statybos darbai, proc.</t>
  </si>
  <si>
    <t>6-6-2-3-9</t>
  </si>
  <si>
    <t>Paviršinių nuotekų šalinimo tinklų statyba Gargždų m. nuo Lakštingalų g. iki Minijos upės</t>
  </si>
  <si>
    <t>Įvykdyti statybos  darbai, proc.</t>
  </si>
  <si>
    <t>6-6-2-3-10</t>
  </si>
  <si>
    <t>Paviršinių nuotekų šalinimo tinklų ir siurblinės projektavimas ir statyba Stragnų II k.</t>
  </si>
  <si>
    <t>Įvykdyti projektavimo ir statybos  darbai, proc.</t>
  </si>
  <si>
    <t>6-6-2-3-11</t>
  </si>
  <si>
    <t>6-6-2-3-12</t>
  </si>
  <si>
    <t>Vandentiekio ir nuotekų tinklų inventorizavimas ir įteisinimas</t>
  </si>
  <si>
    <t>36, 9.1</t>
  </si>
  <si>
    <t>A. Indzelė, M. Kernagienė, R. Gudjonis</t>
  </si>
  <si>
    <t>Inventorizuotų ir įteisintų tinklų kiekis, km</t>
  </si>
  <si>
    <t>3.1.1.79.29.</t>
  </si>
  <si>
    <t>6-6-3</t>
  </si>
  <si>
    <t>Kompensacijos iniciatoriams už įrengtą savivaldybės infrastruktūrą, pagal savivaldybės infrastruktūros plėtros sutartis</t>
  </si>
  <si>
    <t>NEPRIORITETINĖS</t>
  </si>
  <si>
    <t>6.1.1.45.</t>
  </si>
  <si>
    <t>Lėšų panaudota, proc.</t>
  </si>
  <si>
    <t>NEPRIORITETINĖS LIKUČIAI</t>
  </si>
  <si>
    <t>6-6-4</t>
  </si>
  <si>
    <t>"Klaipėdos rajono savivaldybės išlaidos apmokant už vandentiekio ir buitinių nuotekų tinklų nuomą (UAB "Baltic casings")</t>
  </si>
  <si>
    <t>6.1.1.46.</t>
  </si>
  <si>
    <t>VBM(KP)</t>
  </si>
  <si>
    <t>7-1 Uždavinys: Užtikrinti kultūros srities paslaugų teikimą</t>
  </si>
  <si>
    <t>7-1-1</t>
  </si>
  <si>
    <t>Teikti kultūros paslaugas Savivaldybės kultūros įstaigose</t>
  </si>
  <si>
    <t>8.4</t>
  </si>
  <si>
    <t>8.5</t>
  </si>
  <si>
    <t>8.7</t>
  </si>
  <si>
    <t>8.8</t>
  </si>
  <si>
    <t>8.2</t>
  </si>
  <si>
    <t>8.1</t>
  </si>
  <si>
    <t>8.3</t>
  </si>
  <si>
    <t>7-1-1-10</t>
  </si>
  <si>
    <t>Kultūros įstaigų elektros, šildymo ir kuro išlaidų finansavimas</t>
  </si>
  <si>
    <t>7.1.1.9.</t>
  </si>
  <si>
    <t>7-1-2</t>
  </si>
  <si>
    <t>Sudaryti sąlygas kultūrinės veiklos organizavimui ir kultūros sklaidai Klaipėdos rajone</t>
  </si>
  <si>
    <t>7-1-2-1</t>
  </si>
  <si>
    <r>
      <rPr>
        <sz val="8"/>
        <color rgb="FF000000"/>
        <rFont val="Arial"/>
        <family val="2"/>
        <charset val="186"/>
      </rPr>
      <t>Mėgėjų meno kolektyvų atstovavimas Klaipėdos rajonui tarptautiniuose renginiuoseir prisidėjimas prie Kultūros tarybos ir kitų konkursų finansuojamų projektų</t>
    </r>
  </si>
  <si>
    <t>8</t>
  </si>
  <si>
    <t>7.1.2.9.</t>
  </si>
  <si>
    <t>KS,  J. Polekauskienė
I. Sliužinskaitė</t>
  </si>
  <si>
    <t xml:space="preserve">Paskirstyti lėšas pagal pateiktas paraiškas, vnt. </t>
  </si>
  <si>
    <t>Prisidėti prie Kultūros tarybos finansuojamų projektų, vnt.</t>
  </si>
  <si>
    <t>7-1-2-2</t>
  </si>
  <si>
    <t>Klaipėdos rajonui reikšmingų datų, įvykių, asmenybių įamžinimas</t>
  </si>
  <si>
    <t>7.1.2.20.</t>
  </si>
  <si>
    <t>Barono Rene iniciatyvų įgyvendinimas Gargždų parke, vnt.</t>
  </si>
  <si>
    <t>7.1.2.20.29.</t>
  </si>
  <si>
    <t xml:space="preserve">Rene skvero sutvarkymo darbai (pabaigimas), vnt. </t>
  </si>
  <si>
    <t>7.1.2.20.32</t>
  </si>
  <si>
    <t>7.1.2.20.35.</t>
  </si>
  <si>
    <t>Vėžaičių seniūnija</t>
  </si>
  <si>
    <t xml:space="preserve">Volmerių kapavietės sutvarkymo projekto parengimas, vnt. </t>
  </si>
  <si>
    <t>7-1-2-3</t>
  </si>
  <si>
    <t>Klaipėdos rajono profesionalių menininkų rėmimo programa</t>
  </si>
  <si>
    <t>7.1.2.21.</t>
  </si>
  <si>
    <t xml:space="preserve">Įgyvendintų priemonių skaičius, vnt. </t>
  </si>
  <si>
    <t>7-2 Uždavinys: Modernizuoti kultūros įstaigų infrastruktūrą</t>
  </si>
  <si>
    <t>7-2-1</t>
  </si>
  <si>
    <t>Kultūros įstaigų infrastruktūros atnaujinimas, remontas ir plėtra</t>
  </si>
  <si>
    <t>7-2-1-1</t>
  </si>
  <si>
    <t>Kultūros įstaigų patalpų remontas, tarnybinių automobilių remontas, organizacinės technikos, priemonių įsigijimas, kultūros veikloms organizuoti</t>
  </si>
  <si>
    <t>7.1.1.10.</t>
  </si>
  <si>
    <t>Paskirstytos lėšos įstaigoms turtui įsigyti, remontuoti, panaudotos lėšos proc.</t>
  </si>
  <si>
    <t>Klaipėdos rajono etninės kultūros centras</t>
  </si>
  <si>
    <t>Gargždų krašto muziejus</t>
  </si>
  <si>
    <t>BĮ Gargždų kultūros centras</t>
  </si>
  <si>
    <t>BĮ Kretingalės kultūros centras</t>
  </si>
  <si>
    <t>BĮ Priekulės meno ir kultūros centras</t>
  </si>
  <si>
    <t>BĮ Veiviržėnų kultūros centras</t>
  </si>
  <si>
    <t>BĮ Vėžaičių kultūros centras</t>
  </si>
  <si>
    <t>7-2-1-3</t>
  </si>
  <si>
    <t xml:space="preserve">Veiviržėnų kultūros centro pastato modernizavimas </t>
  </si>
  <si>
    <t>7.3.1.39.</t>
  </si>
  <si>
    <t>Vykdomi rangos darbai, proc.</t>
  </si>
  <si>
    <t>7-2-1-4</t>
  </si>
  <si>
    <t>Gargždų krašto muziejaus pastato projektavimas ir statyba</t>
  </si>
  <si>
    <t>7.3.1.40.</t>
  </si>
  <si>
    <t>Projekto parengimas (vnt.)</t>
  </si>
  <si>
    <t>7-2-1-5</t>
  </si>
  <si>
    <t>J. Lankučio viešosios bibliotekos filialų Purmalių k. projektavimas ir statyba</t>
  </si>
  <si>
    <t>7.3.1.41.</t>
  </si>
  <si>
    <t xml:space="preserve">Pastatytas konteinerių tipo pastatas bibliotekos filialui, vnt. </t>
  </si>
  <si>
    <t>7-2-1-7</t>
  </si>
  <si>
    <t>Vėžaičių miestelio centrinėje dalyje esančio pastato bei aikštės sutvarkymas ir įveiklinimas</t>
  </si>
  <si>
    <t>7.3.1.44.</t>
  </si>
  <si>
    <t>Sutvarkyta aikštė, vnt.</t>
  </si>
  <si>
    <t>VGF</t>
  </si>
  <si>
    <t>7-3 Uždavinys: Užtikrinti krašto etninės kultūros vertybių perimamumą, apsaugą ir populiarinimą, tenkinant visuomenės etnokultūrinius poreikius</t>
  </si>
  <si>
    <t>7-3-1</t>
  </si>
  <si>
    <t>Etninės kultūros plėtros programos įgyvendinimas</t>
  </si>
  <si>
    <t>7.4.1.1.</t>
  </si>
  <si>
    <t>Įgyvendintų projektų skaičius, vnt.</t>
  </si>
  <si>
    <t>7-3-2</t>
  </si>
  <si>
    <t>Premijų Klaipėdos rajonui nusipelniusiems ir pasižymėjusiems asmenims skyrimas</t>
  </si>
  <si>
    <t>7.4.1.2.</t>
  </si>
  <si>
    <t>Organizuotos premijų skyrimo ir įteikimo procedūros ir renginiai, vnt.</t>
  </si>
  <si>
    <t>7-4 Uždavinys: Išsaugoti kultūros paveldą ir jo kultūrinę vertę</t>
  </si>
  <si>
    <t>7-4-1</t>
  </si>
  <si>
    <t>Organizuoti kultūros vertybių tvarkymą ir išsaugojimą</t>
  </si>
  <si>
    <t>7-4-1-1</t>
  </si>
  <si>
    <t>Senųjų kapinių tvarkymo ir priežiūros darbai</t>
  </si>
  <si>
    <t>7.5.1.1.</t>
  </si>
  <si>
    <t>7-4-1-1-1</t>
  </si>
  <si>
    <t>Senųjų kapinių priežiūros darbų programa</t>
  </si>
  <si>
    <t>Sutvarkytos Klaipėdos rajono senosios kapinės, vnt.</t>
  </si>
  <si>
    <t>7-4-1-1-2</t>
  </si>
  <si>
    <t>Senųjų kapinių ženklinimas</t>
  </si>
  <si>
    <t>Senųjų kapinių informacinių ženklų pagaminimas ir įrengimas, vnt.</t>
  </si>
  <si>
    <t>7-4-1-2</t>
  </si>
  <si>
    <t xml:space="preserve">Kultūros paveldo objektų ir jų vertingųjų savybių išsaugojimo darbai </t>
  </si>
  <si>
    <t>7-4-1-2-1</t>
  </si>
  <si>
    <t xml:space="preserve">Karaliaus Vilhelmo kanalo statinių komplekso Lankupių šliuzo tvarkybos (remonto, restauravimo, avarijos grėsmės pašalinimo) darbai </t>
  </si>
  <si>
    <t>7.5.1.35.</t>
  </si>
  <si>
    <t>7-4-1-2-2</t>
  </si>
  <si>
    <t>Vėžaičių dvaro sodybos arklidžių stogo paprastojo remonto darbai</t>
  </si>
  <si>
    <t>Sutvarkytas Vėžaičių KC pastato stogas, vnt.</t>
  </si>
  <si>
    <t>7-4-1-2-3</t>
  </si>
  <si>
    <t>Vėžaičių dvaro sodybos parko tvarkybos darbų projekto parengimas</t>
  </si>
  <si>
    <t>7.5.1.35.35</t>
  </si>
  <si>
    <t>7-4-1-2-4</t>
  </si>
  <si>
    <t xml:space="preserve">Memorialinio paminklo Priekulės I k. civilinėse kapinėse remontas (ID 1391) </t>
  </si>
  <si>
    <t>7.5.1.35.32</t>
  </si>
  <si>
    <t>Suremontuotas memorialas, vnt.</t>
  </si>
  <si>
    <t>7-4-1-2-6</t>
  </si>
  <si>
    <t>Gargždų pėsčiųjų viaduko tyrimai, tvarkybos darbų projekto parengimas ir įgyvendinimas</t>
  </si>
  <si>
    <r>
      <t xml:space="preserve">
</t>
    </r>
    <r>
      <rPr>
        <sz val="8"/>
        <color rgb="FF000000"/>
        <rFont val="Arial"/>
        <family val="2"/>
        <charset val="186"/>
      </rPr>
      <t xml:space="preserve">Atlikti viaduko tyrimai ir parengtas projektas, vnt.
</t>
    </r>
  </si>
  <si>
    <t>7-4-1-2-8</t>
  </si>
  <si>
    <t xml:space="preserve">Šernų tilto sutvarkymas </t>
  </si>
  <si>
    <r>
      <t xml:space="preserve">
</t>
    </r>
    <r>
      <rPr>
        <sz val="8"/>
        <color rgb="FF000000"/>
        <rFont val="Arial"/>
        <family val="2"/>
        <charset val="186"/>
      </rPr>
      <t>Atlikti tilto taikomieji tyrimai, vnt.</t>
    </r>
  </si>
  <si>
    <t>7-4-1-4</t>
  </si>
  <si>
    <t>Kultūros paveldo statinių tvarkymo darbų dalinis finansavimas</t>
  </si>
  <si>
    <t>7.5.1.56.</t>
  </si>
  <si>
    <t xml:space="preserve">Finansuotų paraiškų skaičius, vnt. </t>
  </si>
  <si>
    <t>7-4-1-5</t>
  </si>
  <si>
    <t>Piliakalnių pritaikymo turizmo ir visuomenės poreikiams įgyvendinimas</t>
  </si>
  <si>
    <t>7.5.1.68.</t>
  </si>
  <si>
    <t>7-4-1-5-1</t>
  </si>
  <si>
    <t xml:space="preserve">Veiviržėnų piliakalnio sutvarkymas ir pritaikymas </t>
  </si>
  <si>
    <t>Įvykdyti tvarkybos ir tvarkomieji statybos darbai, proc.</t>
  </si>
  <si>
    <t>7-4-1-5-2</t>
  </si>
  <si>
    <t>Eketės piliakalnio sutvarkymas ir pritaikymas (projekto parengimas)</t>
  </si>
  <si>
    <t>Parengtas Eketės piliakalnio sutvarkymo ir pritaikymo projektas, vnt.</t>
  </si>
  <si>
    <t>7-4-1-6</t>
  </si>
  <si>
    <t>Kultūros paveldo objektų apskaita (inventorizavimas, atskleidimas, registravimas), taikomieji tyrimai, pažinimas ir sklaida</t>
  </si>
  <si>
    <t>7.5.2.1.</t>
  </si>
  <si>
    <t>7-4-1-6-1</t>
  </si>
  <si>
    <t>Nekilnojamojo kultūros paveldo objektų apskaitos dokumentų rengimas</t>
  </si>
  <si>
    <t>Parengta apskaitos, tyrimų dokumentų, vnt.</t>
  </si>
  <si>
    <t>7-4-1-6-2</t>
  </si>
  <si>
    <t>Savivaldybės nekilnojamojo kultūros paveldo vertinimo tarybos veiklos organizavimas</t>
  </si>
  <si>
    <t xml:space="preserve"> Vertinimo tarybos posėdžių skaičius, vnt.</t>
  </si>
  <si>
    <t>7-4-1-6-3</t>
  </si>
  <si>
    <t>Europos paveldo dienų organizavimas</t>
  </si>
  <si>
    <t>Suorganizuota Europos paveldo dienų renginių, vnt.</t>
  </si>
  <si>
    <t>7-4-1-6-4</t>
  </si>
  <si>
    <t>Detalieji archeologiniai tyrimai Kukuliškių piliakalnyje</t>
  </si>
  <si>
    <t>Atlikti archeologiniai tyrimai, vnt.</t>
  </si>
  <si>
    <t>7-4-1-6-7</t>
  </si>
  <si>
    <t>Kiti pagal poreikį atliekami išsaugojimo darbai</t>
  </si>
  <si>
    <t>7-4-2</t>
  </si>
  <si>
    <t>Organizuoti religinio paveldo objektų tvarkymą ir išsaugojimą</t>
  </si>
  <si>
    <t>7-4-2-1</t>
  </si>
  <si>
    <t>Saugomų mažosios architektūros (lurdų, skulptūrų, kryžių, koplytėlių, koplytstulpių ir kt.) objektų tvarkymo ir priežiūros darbai</t>
  </si>
  <si>
    <t>7.5.1.71.</t>
  </si>
  <si>
    <t>7-4-2-1-1</t>
  </si>
  <si>
    <t>Veiviržėnų lurdo tvarkybos darbai ir skulptūros restauravimas</t>
  </si>
  <si>
    <t>Įvykdyti tvarkybos darbai, proc.</t>
  </si>
  <si>
    <t>7-4-2-1-2</t>
  </si>
  <si>
    <t>Koplytėlių/koplytstulpių atnaujinimas</t>
  </si>
  <si>
    <t>Atnaujintos koplytėlės/koplytstulpiai, vnt.</t>
  </si>
  <si>
    <t>7-4-2-1-3</t>
  </si>
  <si>
    <t>Skulptūros atnaujinimas Veiviržėnų senosiose kapinėse</t>
  </si>
  <si>
    <t>7.5.1.71.34.</t>
  </si>
  <si>
    <t>Atnaujinta skulptūra, vnt.</t>
  </si>
  <si>
    <t>SB (ES)</t>
  </si>
  <si>
    <t>8-1 Uždavinys: Plėtoti sporto paslaugas ir vykdyti aktyvią sporto politiką</t>
  </si>
  <si>
    <t>11.24</t>
  </si>
  <si>
    <t>8-1-3</t>
  </si>
  <si>
    <t>Sportininkų, reprezentuojančių Klaipėdos rajono savivaldybę aukšto meistriškumo sporto varžybose, finansavimo programa</t>
  </si>
  <si>
    <t>8.1.2.9.</t>
  </si>
  <si>
    <t>ŠSS, 
U. Tamošauskienė</t>
  </si>
  <si>
    <t xml:space="preserve">Sudaryta sutarčių, vnt.
</t>
  </si>
  <si>
    <t>Surinktų ataskaitų skaičius, vnt.</t>
  </si>
  <si>
    <t>8-1-4</t>
  </si>
  <si>
    <t>Jaunųjų futbolininkų ugdymo programos įgyvendinimas</t>
  </si>
  <si>
    <t>11.25</t>
  </si>
  <si>
    <t>8.1.2.10.</t>
  </si>
  <si>
    <t>8-1-5</t>
  </si>
  <si>
    <t>Klaipėdos krašto buriavimo sporto mokyklos „Žiemys“ ugdymo programos įgyvendinimas</t>
  </si>
  <si>
    <t>11.26</t>
  </si>
  <si>
    <t>8.1.2.11.</t>
  </si>
  <si>
    <t>8-1-7</t>
  </si>
  <si>
    <t>Sporto renginių finansavimas Klaipėdos rajone</t>
  </si>
  <si>
    <t>8.1.2.15.</t>
  </si>
  <si>
    <t xml:space="preserve">Finansuotų sporto renginių skaičius </t>
  </si>
  <si>
    <t>8-2 Uždavinys: Plėtoti fizinio aktyvumo veikloms palankią infrastruktūrą</t>
  </si>
  <si>
    <t>8-2-1</t>
  </si>
  <si>
    <t>Sporto ir laisvalaikio infrastruktūros priežiūra ir plėtra Klaipėdos rajone</t>
  </si>
  <si>
    <t>VšĮ „Gargždų futbolas“</t>
  </si>
  <si>
    <t>8-2-1-2</t>
  </si>
  <si>
    <t>Projekto „Stovyklavietės įrengimas Gargždų karjerų teritorijoje“ įgyvendinimas</t>
  </si>
  <si>
    <t>8.2.1.24.</t>
  </si>
  <si>
    <t>8-2-2</t>
  </si>
  <si>
    <t>Daugiafunkcio sporto ir pramogų centro Gargžduose, Dariaus ir Girėno g. 4, statyba</t>
  </si>
  <si>
    <t>8.2.2.6.</t>
  </si>
  <si>
    <t xml:space="preserve">Pervestos sulaikytos lėšos, proc. </t>
  </si>
  <si>
    <t>9-1 Uždavinys: Efektyviai organizuoti Savivaldybės darbą, tinkamai įgyvendinant jos funkcijas</t>
  </si>
  <si>
    <t>9-1-1</t>
  </si>
  <si>
    <t>Klaipėdos rajono savivaldybės tarybos darbo organizavimas ir užtikrinimas</t>
  </si>
  <si>
    <t>9.1.1.1.</t>
  </si>
  <si>
    <t>Iš viso SB</t>
  </si>
  <si>
    <t>Iš viso VBD</t>
  </si>
  <si>
    <t>9-1-1-1</t>
  </si>
  <si>
    <t>Taryba</t>
  </si>
  <si>
    <t>CB, V. Bražinskienė, A. Andriejauskienė</t>
  </si>
  <si>
    <t>9-1-1-2</t>
  </si>
  <si>
    <t>Tarybos ir mero sekretoriatas</t>
  </si>
  <si>
    <t>9-1-1-3</t>
  </si>
  <si>
    <t>Mero fondas</t>
  </si>
  <si>
    <t>CB,  A. Andriejauskienė</t>
  </si>
  <si>
    <t>9-1-1-4</t>
  </si>
  <si>
    <t>Tarybos nariai</t>
  </si>
  <si>
    <t>CB, V. Bražinskienė</t>
  </si>
  <si>
    <t>9-1-2</t>
  </si>
  <si>
    <t>Savivaldybės tarnybų, administracijos veiklos ir funkcijų užtikrinimas</t>
  </si>
  <si>
    <t>Iš viso S</t>
  </si>
  <si>
    <t>9-1-2-1</t>
  </si>
  <si>
    <t>Administracijos darbo organizavimas (01.03.02.09.)</t>
  </si>
  <si>
    <t>9.1.1.2.</t>
  </si>
  <si>
    <t>CB, R. Petrauskienė ir A.Andriejauskienė</t>
  </si>
  <si>
    <t xml:space="preserve">Suskaičiuoti ir išmokėti Administracijai darbo užmokestį, apmokėti veiklos išlaidas </t>
  </si>
  <si>
    <t>Priemokos už projektinį valdymą (01.03.02.09.)</t>
  </si>
  <si>
    <t>9.1.1.23.</t>
  </si>
  <si>
    <t xml:space="preserve">CB, R. Petrauskienė </t>
  </si>
  <si>
    <t>Suskaičiuoti ir išmokėti Administracijai priemokas už projektinį valdymą</t>
  </si>
  <si>
    <t>01.03.02.09.</t>
  </si>
  <si>
    <t>BRS, M. Miežetis</t>
  </si>
  <si>
    <t xml:space="preserve">Laiku pateikti gautas sąskaitas (turto), proc. </t>
  </si>
  <si>
    <t>ITS, S. Martinkus</t>
  </si>
  <si>
    <t>Laiku pateikti gautas sąskaitas (IT)</t>
  </si>
  <si>
    <t>CB, A.Andriejauskienė</t>
  </si>
  <si>
    <t>Laiku apmokėti gautas sąskaitas</t>
  </si>
  <si>
    <t>04.04.04.09.</t>
  </si>
  <si>
    <t>Suskaičiuoti ir išmokėti Administracijai darbo užmokestį</t>
  </si>
  <si>
    <t>04.09.01.01.</t>
  </si>
  <si>
    <t>05.06.01.09.</t>
  </si>
  <si>
    <t>07.06.01.09.</t>
  </si>
  <si>
    <t>08.06.01.09.</t>
  </si>
  <si>
    <t>09.08.01.09.</t>
  </si>
  <si>
    <t>9-1-2-2</t>
  </si>
  <si>
    <t>Reprezentacinės išlaidos</t>
  </si>
  <si>
    <t>Laiku pateikti sąskaitas, proc.</t>
  </si>
  <si>
    <t>9-1-2-3</t>
  </si>
  <si>
    <t>Mero rezervas</t>
  </si>
  <si>
    <t>Laiku apmokėti gautas sąskaitas už stichinių nelaimių padarytus materialinius nuostolius, proc.</t>
  </si>
  <si>
    <t>9-1-2-5</t>
  </si>
  <si>
    <t>Agluonėnų seniūnijos darbo organizavimas</t>
  </si>
  <si>
    <t>9.1.1.4.25.</t>
  </si>
  <si>
    <t>L. Tučienė</t>
  </si>
  <si>
    <t>Užtikrinta seniūnijos veikla, vnt.</t>
  </si>
  <si>
    <t>9-1-2-6</t>
  </si>
  <si>
    <t>Dauparų Kvietinių seniūnijos darbo organizavimas</t>
  </si>
  <si>
    <t>9.1.1.4.26.</t>
  </si>
  <si>
    <t>D. Simenavičė</t>
  </si>
  <si>
    <t>9-1-2-7</t>
  </si>
  <si>
    <t>Dovilų seniūnijos darbo organizavimas</t>
  </si>
  <si>
    <t>9.1.1.4.27.</t>
  </si>
  <si>
    <t>9-1-2-8</t>
  </si>
  <si>
    <t>Endriejavo seniūnijos darbo organizavimas</t>
  </si>
  <si>
    <t>9.1.1.4.28.</t>
  </si>
  <si>
    <t xml:space="preserve">Endriejavo </t>
  </si>
  <si>
    <t>9-1-2-9</t>
  </si>
  <si>
    <t>Gargždų seniūnijos darbo organizavimas</t>
  </si>
  <si>
    <t>9.1.1.4.29.</t>
  </si>
  <si>
    <t>9-1-2-10</t>
  </si>
  <si>
    <t>Judrėnų seniūnijos darbo organizavimas</t>
  </si>
  <si>
    <t>9.1.1.4.30.</t>
  </si>
  <si>
    <t>9-1-2-11</t>
  </si>
  <si>
    <t>Kretingalės seniūnijos darbo organizavimas</t>
  </si>
  <si>
    <t>9.1.1.4.31.</t>
  </si>
  <si>
    <t>9-1-2-12</t>
  </si>
  <si>
    <t>Priekulės seniūnijos darbo organizavimas</t>
  </si>
  <si>
    <t>9.1.1.4.32.</t>
  </si>
  <si>
    <t>9-1-2-13</t>
  </si>
  <si>
    <t>Sendvario seniūnijos darbo organizavimas</t>
  </si>
  <si>
    <t>9.1.1.4.33.</t>
  </si>
  <si>
    <t>K. Novikova</t>
  </si>
  <si>
    <t>9-1-2-14</t>
  </si>
  <si>
    <t>Veiviržėnų seniūnijos darbo organizavimas</t>
  </si>
  <si>
    <t>9.1.1.4.34.</t>
  </si>
  <si>
    <t>9-1-2-15</t>
  </si>
  <si>
    <t>Vėžaičių seniūnijos darbo organizavimas</t>
  </si>
  <si>
    <t>9.1.1.4.35.</t>
  </si>
  <si>
    <t>9-1-2-16</t>
  </si>
  <si>
    <t>Viešinimo priemonės 01.03.02.09.</t>
  </si>
  <si>
    <t>9.2.1.3.</t>
  </si>
  <si>
    <t>E. Badalova</t>
  </si>
  <si>
    <t xml:space="preserve">Paminėjimai žiniasklaidoje, vnt. </t>
  </si>
  <si>
    <t>9-1-2-17</t>
  </si>
  <si>
    <t>Viešinimo priemonės (gyventojo kortelė) 08.02.01.08.</t>
  </si>
  <si>
    <t>Klaipėdos rajono gyventojo kortelės naudotojų skaičius</t>
  </si>
  <si>
    <t>9-1-3</t>
  </si>
  <si>
    <t>Savivaldybei perduotų funkcijų įgyvendinimo užtikrinimas</t>
  </si>
  <si>
    <t>Iš viso VBD(T)</t>
  </si>
  <si>
    <t>Iš viso VBL</t>
  </si>
  <si>
    <t>Iš viso VBR</t>
  </si>
  <si>
    <t>Iš viso VBD(UK)</t>
  </si>
  <si>
    <t>Iš viso VBM(UK)</t>
  </si>
  <si>
    <t>Iš viso VBM</t>
  </si>
  <si>
    <t>Iš viso ES:</t>
  </si>
  <si>
    <t>Iš viso VBES:</t>
  </si>
  <si>
    <t>Iš viso KT:</t>
  </si>
  <si>
    <t>Iš viso VGF:</t>
  </si>
  <si>
    <t>9-1-3-1</t>
  </si>
  <si>
    <t>Gyventojų registro tvarkymas ir duomenų valstybės registrui teikimas</t>
  </si>
  <si>
    <t>9.1.2.1.</t>
  </si>
  <si>
    <t>PCMS, V. Jasaitienė,
 A. Zikienė</t>
  </si>
  <si>
    <t>Archyvinių civilinės būklės aktų įrašų pateiktų registro tvarkytojui, skaičius, vnt.</t>
  </si>
  <si>
    <t>9-1-3-2</t>
  </si>
  <si>
    <t>Archyvinių dokumentų tvarkymas</t>
  </si>
  <si>
    <t>9.1.2.2.</t>
  </si>
  <si>
    <t>BRS, D. Gliožerienė,
 J. Žąsytienė</t>
  </si>
  <si>
    <t>Tinkamai vykdyta funkcija, vnt.</t>
  </si>
  <si>
    <t>9-1-3-3</t>
  </si>
  <si>
    <t>Jaunimo teisių apsauga</t>
  </si>
  <si>
    <t>9.1.2.4.</t>
  </si>
  <si>
    <t>9-1-3-4</t>
  </si>
  <si>
    <t>Valstybinės kalbos vartojimo ir taisyklingumo kontrolė</t>
  </si>
  <si>
    <t>9.1.2.5.</t>
  </si>
  <si>
    <t>9-1-3-5</t>
  </si>
  <si>
    <t>Civilinės būklės aktų registravimas</t>
  </si>
  <si>
    <t>9.1.2.6.</t>
  </si>
  <si>
    <t>PCMS, D. Freigofaitė, 
V. Jasaitienė, A. Zikienė</t>
  </si>
  <si>
    <t>Elektroniniu būdu pateiktų dokumentų dalis nuo visų gautų dokumentų dėl civilinės būklės aktų registravimo ir kitų su tuo susijusių paslaugų teikimo skaičiaus, proc.</t>
  </si>
  <si>
    <t>PCMS, D. Freigofaitė, 
V. Jasaitienė,
 A. Zikienė</t>
  </si>
  <si>
    <t>9-1-3-6</t>
  </si>
  <si>
    <t>Valstybinės žemės ir kito valstybės turto valdymas ir disponavimas juo patikėjimo teise</t>
  </si>
  <si>
    <t>9.1.2.7.</t>
  </si>
  <si>
    <t>TVS, A. Riškienė, V. Pabrėžienė, A. Tunaitienė</t>
  </si>
  <si>
    <t>9-1-3-7</t>
  </si>
  <si>
    <t>Pirminė teisinė pagalba</t>
  </si>
  <si>
    <t>9.1.2.10.</t>
  </si>
  <si>
    <t>TPS, V. Jasas, 
V. Matulaitytė,
 A. Andrijauskienė, 
R. Kasparienė</t>
  </si>
  <si>
    <t>Tinkamai vykdyta funkcija, suteiktos pirminės teisinės pagalbos atvejų skaičius,  vnt.</t>
  </si>
  <si>
    <t>9-1-3-8</t>
  </si>
  <si>
    <t>Mobilizacijos administravimas</t>
  </si>
  <si>
    <t>9.1.2.11.</t>
  </si>
  <si>
    <t>9-1-3-9</t>
  </si>
  <si>
    <t>Civilinės saugos organizavimas</t>
  </si>
  <si>
    <t>9.1.2.13.</t>
  </si>
  <si>
    <t>VTS, R. Uosytė, 
R. Jonelaitis</t>
  </si>
  <si>
    <t>VTS, R. Jonelaitis</t>
  </si>
  <si>
    <t xml:space="preserve">Modernizuotos esamos priedangos, vnt. </t>
  </si>
  <si>
    <t>9-1-3-10</t>
  </si>
  <si>
    <t>Žemės ūkio funkcijų vykdymas</t>
  </si>
  <si>
    <t>9.1.2.14.19.</t>
  </si>
  <si>
    <t>VBL</t>
  </si>
  <si>
    <t>ŽŪS, A. Latakienė</t>
  </si>
  <si>
    <t>Panaudota lėšų dalis, proc.</t>
  </si>
  <si>
    <t>VBR</t>
  </si>
  <si>
    <t>9.1.2.14.25.</t>
  </si>
  <si>
    <t>AGL, V. Bertulytė</t>
  </si>
  <si>
    <t>Ūkininkų, kuriems teikiamos paslaugos, sk.</t>
  </si>
  <si>
    <t>9.1.2.14.27.</t>
  </si>
  <si>
    <t>DOV, V. Jurgutienė</t>
  </si>
  <si>
    <t>9.1.2.14.30.</t>
  </si>
  <si>
    <t>JDR, D. Daugėlienė</t>
  </si>
  <si>
    <t>9.1.2.14.32.</t>
  </si>
  <si>
    <t>PRKL, J. Liutikė</t>
  </si>
  <si>
    <t>Pareiškėjų, kuriems teikiamos paslaugos, skaičius, vnt.</t>
  </si>
  <si>
    <t>9.1.2.14.33.</t>
  </si>
  <si>
    <t>SND, J. Gečienė</t>
  </si>
  <si>
    <t>Ūkininkų, kuriems teikiamos paslaugos, vnt.</t>
  </si>
  <si>
    <t>9.1.2.14.34.</t>
  </si>
  <si>
    <t>VEIV, Z. Rimkienė</t>
  </si>
  <si>
    <t>Ūkininkų, kuriems teikiamos paslaugos sk.</t>
  </si>
  <si>
    <t>9.1.2.14.35.</t>
  </si>
  <si>
    <t>VĖŽ, E. Kundrotienė</t>
  </si>
  <si>
    <t>9-1-3-12</t>
  </si>
  <si>
    <t>Socialinių išmokų skaičiavimas ir mokėjimas</t>
  </si>
  <si>
    <t>9.1.2.16.</t>
  </si>
  <si>
    <t>SSAS, I. Gailienė</t>
  </si>
  <si>
    <t>10.7.1.1.</t>
  </si>
  <si>
    <t>10.1.02.40.</t>
  </si>
  <si>
    <t>10.4.1.40.</t>
  </si>
  <si>
    <t>9-1-3-13</t>
  </si>
  <si>
    <t>Duomenų teikimas Valstybės suteiktos pagalbos registrui</t>
  </si>
  <si>
    <t>9.1.2.19.</t>
  </si>
  <si>
    <t>CB, A. Andriejauskienė</t>
  </si>
  <si>
    <t>Pateiktų dokumentų skaičius, vnt.</t>
  </si>
  <si>
    <t>9-1-3-14</t>
  </si>
  <si>
    <t>Gyvenamosios vietos deklaravimas seniūnijose</t>
  </si>
  <si>
    <t>19 Agl</t>
  </si>
  <si>
    <t>9.1.2.20.25.</t>
  </si>
  <si>
    <t>AGL, V. Ronkienė</t>
  </si>
  <si>
    <t>20 Dpr</t>
  </si>
  <si>
    <t>9.1.2.20.26.</t>
  </si>
  <si>
    <t>DKS, D. Vaitkuvienė</t>
  </si>
  <si>
    <t>22 Endr</t>
  </si>
  <si>
    <t>9.1.2.20.28.</t>
  </si>
  <si>
    <t>ENDR, R. Šiaulytienė</t>
  </si>
  <si>
    <t>23 Grg</t>
  </si>
  <si>
    <t>9.1.2.20.29.</t>
  </si>
  <si>
    <t>24 Jdr</t>
  </si>
  <si>
    <t>9.1.2.20.30.</t>
  </si>
  <si>
    <t>GRG, S. Jurjonienė</t>
  </si>
  <si>
    <t>JDR, I. Montvydienė</t>
  </si>
  <si>
    <t>25 Krtg</t>
  </si>
  <si>
    <t>9.1.2.20.31.</t>
  </si>
  <si>
    <t>KRTG, B. Gedrimaitė-Miliuvienė</t>
  </si>
  <si>
    <t>26 Prkl</t>
  </si>
  <si>
    <t>9.1.2.20.32.</t>
  </si>
  <si>
    <t>27 Sdv</t>
  </si>
  <si>
    <t>9.1.2.20.33.</t>
  </si>
  <si>
    <t>PRKL, R. Kučinskienė</t>
  </si>
  <si>
    <t>SND, I. Charunova</t>
  </si>
  <si>
    <t>28 Veiv</t>
  </si>
  <si>
    <t>9.1.2.20.34.</t>
  </si>
  <si>
    <t>VEIV, L. Dėringė</t>
  </si>
  <si>
    <t>29 Vėž</t>
  </si>
  <si>
    <t>9.1.2.20.35.</t>
  </si>
  <si>
    <t xml:space="preserve">VĖŽ, V. Želvienė </t>
  </si>
  <si>
    <t>9-1-3-15</t>
  </si>
  <si>
    <t>Savivaldybės erdvinių duomenų rinkinio tvarkymas</t>
  </si>
  <si>
    <t>9.1.2.21.</t>
  </si>
  <si>
    <t>ŽGGS, J. Tarvydė</t>
  </si>
  <si>
    <t>9-1-3-16</t>
  </si>
  <si>
    <t>Tarpinstitucinis bendradarbiavimas</t>
  </si>
  <si>
    <t>9.1.1.2</t>
  </si>
  <si>
    <t>Patenkinti pagalbos prašymai, vnt.</t>
  </si>
  <si>
    <t>9-1-3-22</t>
  </si>
  <si>
    <t>Asmenų su negalia reikalų koordinavimo funkcijos atlikimas</t>
  </si>
  <si>
    <t>9.1.2.31.</t>
  </si>
  <si>
    <t>SSAS, L. Virkutienė</t>
  </si>
  <si>
    <t>9-1-3-24</t>
  </si>
  <si>
    <t>Koordinatorių modelio išbandymas ir lyčių lygybės politikos stiprinimas</t>
  </si>
  <si>
    <t>9.1.2.33.</t>
  </si>
  <si>
    <t>SSAS, S. Kalinauskaitė</t>
  </si>
  <si>
    <t>9-1-3-25</t>
  </si>
  <si>
    <t>Perėjimas nuo institucinės globos prie bendruomeninių paslaugų sostinės regione, vidurio ir vakarų Lietuvos regione</t>
  </si>
  <si>
    <t>9.1.2.34.</t>
  </si>
  <si>
    <t>SSAS, S. Duoblytė Žvinklienė</t>
  </si>
  <si>
    <t>9-1-3-27</t>
  </si>
  <si>
    <t>Projektas "Užsienio kilmės Lietuvos gyventojų integracijos procesų koordinavimas"</t>
  </si>
  <si>
    <t>9.1.2.36.</t>
  </si>
  <si>
    <t>9-1-4</t>
  </si>
  <si>
    <t>Savivaldybės paskolų valdymas ir aptarnavimas</t>
  </si>
  <si>
    <t>iš viso SB</t>
  </si>
  <si>
    <t>9-1-4-1</t>
  </si>
  <si>
    <t>Palūkanų mokėjimas</t>
  </si>
  <si>
    <t>9.1.6.1.</t>
  </si>
  <si>
    <t>BES, E. Pušinskienė</t>
  </si>
  <si>
    <t>9-1-4-2</t>
  </si>
  <si>
    <t>Paskolų grąžinimas</t>
  </si>
  <si>
    <t>9.1.6.2.</t>
  </si>
  <si>
    <t>9-2 Uždavinys: Plėtoti Savivaldybės tarptautinį bendradarbiavimą bei bendradarbiavimą su kitomis Lietuvos savivaldybėmis, institucijomis ir vietos bendruomene</t>
  </si>
  <si>
    <t>9-2-1</t>
  </si>
  <si>
    <t>Santykių su vietos ir tarptautine bendruomene užtikrinimas ir parama</t>
  </si>
  <si>
    <t>Iš viso Kt</t>
  </si>
  <si>
    <t>Iš viso LK</t>
  </si>
  <si>
    <t>Iš viso ES</t>
  </si>
  <si>
    <t>9-2-1-1</t>
  </si>
  <si>
    <t>Nusikalstamumo prevencijos užtikrinimo programa</t>
  </si>
  <si>
    <t>9.1.4.1.</t>
  </si>
  <si>
    <t>VTS, G. Bajorinienė</t>
  </si>
  <si>
    <t>Įgyvendinama programa, proc.</t>
  </si>
  <si>
    <t>9-2-1-2</t>
  </si>
  <si>
    <t>Pagalba Ukrainai ir jos žmonėms</t>
  </si>
  <si>
    <t xml:space="preserve">9.1.1.18. </t>
  </si>
  <si>
    <t>BRS, R. Zubienė</t>
  </si>
  <si>
    <t>Panaudota lėšų, proc.</t>
  </si>
  <si>
    <t>9-2-1-3</t>
  </si>
  <si>
    <r>
      <t xml:space="preserve">Tarptautinio bendradarbiavimo stiprinimas 
</t>
    </r>
    <r>
      <rPr>
        <i/>
        <sz val="8"/>
        <color theme="1"/>
        <rFont val="Arial"/>
        <family val="2"/>
        <charset val="186"/>
      </rPr>
      <t>(Tarptautinių projektų programos įgyvendinimas; tarptautinių ryšių su esamais ir galimais užsienio partneriais plėtojimas)</t>
    </r>
  </si>
  <si>
    <t>9.4.1.1.</t>
  </si>
  <si>
    <t>SPPVS,
R. Grubliauskytė</t>
  </si>
  <si>
    <t xml:space="preserve">
Suorganizuoti partnerių vizitai Klaipėdos rajone, vnt. 
Suorganizuoti Savivaldybės delegacijos vizitai, vnt.
Pasirašytos dalinio finansavimo sutartys, vnt.
</t>
  </si>
  <si>
    <t>2
2
10</t>
  </si>
  <si>
    <t>9-2-1-4</t>
  </si>
  <si>
    <t>Asociacijos „Klaipėdos regionas“ nario mokestis</t>
  </si>
  <si>
    <t>9.1.1.14.</t>
  </si>
  <si>
    <t>Sumokėtas mokestis, proc.</t>
  </si>
  <si>
    <t>9-2-1-5</t>
  </si>
  <si>
    <t>Seniūnaičių veiklos išlaidų kompensavimas</t>
  </si>
  <si>
    <t>6</t>
  </si>
  <si>
    <t>9.4.2.18.</t>
  </si>
  <si>
    <t>CB,V. Berenė</t>
  </si>
  <si>
    <t>9-2-1-6</t>
  </si>
  <si>
    <t>Gyventojų iniciatyvų, skirtų gyvenamajai aplinkai gerinti, skatinimas</t>
  </si>
  <si>
    <t>9.4.1.7.</t>
  </si>
  <si>
    <t>ATPS G.Kasperavičius, SKPS, A. Ronkus</t>
  </si>
  <si>
    <t>Įgyvendintų iniciatyvų, vnt.</t>
  </si>
  <si>
    <t>9-2-1-7</t>
  </si>
  <si>
    <t>Klaipėdos rajono savivaldybės daugiabučių namų savininkų bendrijų rėmimo programos įgyvendinimas</t>
  </si>
  <si>
    <t>9.5.4.1.</t>
  </si>
  <si>
    <t>TVS, A. Indzelė</t>
  </si>
  <si>
    <t>Pasirašytos paramos skyrimo sutartys, vnt.</t>
  </si>
  <si>
    <t>9-2-1-8</t>
  </si>
  <si>
    <t>Finansavimas daugiabučių namų administratoriams</t>
  </si>
  <si>
    <t>9.5.4.2.</t>
  </si>
  <si>
    <t>TVS, A. Kondrotienė</t>
  </si>
  <si>
    <t>Skirtas finansavimas paraiškoms, vnt.</t>
  </si>
  <si>
    <t>9-2-1-9</t>
  </si>
  <si>
    <t>Pilietinio pasipriešinimo organizacijų rėmimo Klaipėdos rajone programos įgyvendinimas</t>
  </si>
  <si>
    <t>9.4.1.8.</t>
  </si>
  <si>
    <t xml:space="preserve">V. Grekštienė </t>
  </si>
  <si>
    <t xml:space="preserve">Išnagrinėtos paraiškos, vnt. </t>
  </si>
  <si>
    <t>9-2-1-10</t>
  </si>
  <si>
    <t>„Klaipėdos rajono savivaldybės dalyvaujamojo biudžeto „Tavo idėja“ skaitmeninio įrankio įdiegimas“</t>
  </si>
  <si>
    <t>9.4.1.9.</t>
  </si>
  <si>
    <t>SPPVS, V. Juknienė</t>
  </si>
  <si>
    <t>Sugrąžintos lėšos, proc.</t>
  </si>
  <si>
    <t>9-2-1-11</t>
  </si>
  <si>
    <t xml:space="preserve">Klaipėdos regiono plėtros tarybos dalyvio mokestis </t>
  </si>
  <si>
    <t>9.1.1.21.</t>
  </si>
  <si>
    <t>SPPVS, 
V. Kazlauskienė</t>
  </si>
  <si>
    <t>9-3 Uždavinys: Užtikrinti efektyvų Savivaldybei nuosavybės teise priklausančio turto valdymą</t>
  </si>
  <si>
    <t>9-3-1</t>
  </si>
  <si>
    <t>Savivaldybės turto valdymas ir plėtra</t>
  </si>
  <si>
    <t>iš viso Ž</t>
  </si>
  <si>
    <t>iš viso LŽ</t>
  </si>
  <si>
    <t>iš viso S</t>
  </si>
  <si>
    <t>iš viso LS</t>
  </si>
  <si>
    <t>iš viso ES</t>
  </si>
  <si>
    <t>Iš viso VBD:</t>
  </si>
  <si>
    <t>iš viso LK</t>
  </si>
  <si>
    <t>Iš viso SL</t>
  </si>
  <si>
    <t>9-3-1-1</t>
  </si>
  <si>
    <t>Dokumentacijos rengimas, siekiant gauti finansavimą iš išorės programų bei įgyvendinant VPSP projektus</t>
  </si>
  <si>
    <t>9.1.5.1.</t>
  </si>
  <si>
    <t>Parengti dokumentai, vnt.</t>
  </si>
  <si>
    <t>9-3-1-2</t>
  </si>
  <si>
    <t>Savivaldybės turto kadastriniai, topografiniai matavimai ir teisinė registracija, paskirties keitimas</t>
  </si>
  <si>
    <t>9.5.1.1.</t>
  </si>
  <si>
    <t>LŽ</t>
  </si>
  <si>
    <t>9-3-1-3</t>
  </si>
  <si>
    <t>Nekilnojamojo turto rinkos vertės nustatymas</t>
  </si>
  <si>
    <t>9.5.1.2.</t>
  </si>
  <si>
    <t xml:space="preserve">Atliktų turto vertinimų skaičius, vnt. </t>
  </si>
  <si>
    <t>9-3-1-4</t>
  </si>
  <si>
    <t>Nekilnojamojo turto įsigijimas viešųjų poreikių tenkinimui</t>
  </si>
  <si>
    <t>9.5.6.4.</t>
  </si>
  <si>
    <t>Įsigyti NT vienetai</t>
  </si>
  <si>
    <t>9-3-1-5</t>
  </si>
  <si>
    <t>Administracijos pastato rekonstravimo projektavimo ir statybos darbai</t>
  </si>
  <si>
    <t>9.5.2.4.</t>
  </si>
  <si>
    <t>9-3-1-6</t>
  </si>
  <si>
    <t>Statybos objektų statinių techninės priežiūros, projektų vykdymo priežiūros, projektų ir objektų ekspertizės, ataskaitų po projekto įgyvendinimo rengimo paslaugų pirkimas ir vykdymas</t>
  </si>
  <si>
    <t>9.5.2.10.</t>
  </si>
  <si>
    <t>SKPS, A. Ronkus</t>
  </si>
  <si>
    <t>Panaudotų lėšų dalis, proc.</t>
  </si>
  <si>
    <t>9-3-1-7</t>
  </si>
  <si>
    <t>Savivaldybės statinių remontas (Administracijos direktoriaus įsakymais)</t>
  </si>
  <si>
    <t>9.5.6.1.</t>
  </si>
  <si>
    <t>TVS, E. Jasienė</t>
  </si>
  <si>
    <t>Parengtų direktoriaus įsakymų, vnt.</t>
  </si>
  <si>
    <t>9-3-1-8</t>
  </si>
  <si>
    <t>Katilinių priežiūros ir remonto paslaugos pirkimas</t>
  </si>
  <si>
    <t>9.3</t>
  </si>
  <si>
    <t>9.5.6.2.</t>
  </si>
  <si>
    <t>Atnaujintos, sutvarkytos katilinės, vnt.</t>
  </si>
  <si>
    <t>9-3-1-9</t>
  </si>
  <si>
    <t>Klaipėdos rajono švietimo, kultūros, seniūnijų ir kitų savivaldybės įstaigų elektros ūkio techninė priežiūra</t>
  </si>
  <si>
    <t>9.4.6.5.</t>
  </si>
  <si>
    <t>9-3-1-10</t>
  </si>
  <si>
    <t>Gargždų autobusų stoties pastato projektavimas bei statyba ir dviejų autobusų stotelių įrengimas</t>
  </si>
  <si>
    <t>9.4.6.6.</t>
  </si>
  <si>
    <t xml:space="preserve">Suprojektuotos stotelės, vnt. </t>
  </si>
  <si>
    <t>9-3-1-11</t>
  </si>
  <si>
    <t>Seniūnijų pastatų atnaujinimo ir sutvarkymo projektų rengimas</t>
  </si>
  <si>
    <t>9.1.1.20.</t>
  </si>
  <si>
    <t xml:space="preserve">Atlikti Judrėnų seniūnijos atnaujinimo projektavimo darbai, proc. </t>
  </si>
  <si>
    <t>9.1.1.20.27.</t>
  </si>
  <si>
    <t>Eil. Nr.</t>
  </si>
  <si>
    <t>Seniūnijos pavadinimas</t>
  </si>
  <si>
    <t>Rodikliai</t>
  </si>
  <si>
    <t>Lėšų paskirstymas,</t>
  </si>
  <si>
    <t>Gyventojų skaičius, vnt.               2025 m. spalio 03 d.</t>
  </si>
  <si>
    <t>Kelių (gatvių) ilgis, km</t>
  </si>
  <si>
    <t xml:space="preserve"> %</t>
  </si>
  <si>
    <t>tūkst. Eur</t>
  </si>
  <si>
    <t>Gyventojų skaičius, vnt.               2025 m. sausio 03 d.</t>
  </si>
  <si>
    <t>Gyventojų skaičius, vnt.               2024 m. rugsėjo 30 d.</t>
  </si>
  <si>
    <t>(2021-01-28 Nr. T11-7)</t>
  </si>
  <si>
    <t> Iš viso:</t>
  </si>
  <si>
    <t>skaičuoklė</t>
  </si>
  <si>
    <t>Priemonės vykdytojas</t>
  </si>
  <si>
    <t>Vykdytojo kodas</t>
  </si>
  <si>
    <t>Santrumpa</t>
  </si>
  <si>
    <t>Klaipėdos rajono savivaldybės administracija</t>
  </si>
  <si>
    <t>KRSA</t>
  </si>
  <si>
    <t>Architektūros ir teritorijų planavimo skyrius</t>
  </si>
  <si>
    <t>ATPS</t>
  </si>
  <si>
    <t>Bendrųjų reikalų skyrius</t>
  </si>
  <si>
    <t>BRS</t>
  </si>
  <si>
    <t>Biudžeto ir ekonomikos skyrius</t>
  </si>
  <si>
    <t>BES</t>
  </si>
  <si>
    <t>Centralizuotas vidaus audito skyrius</t>
  </si>
  <si>
    <t>CVAS</t>
  </si>
  <si>
    <t>Centrinė buhalterija</t>
  </si>
  <si>
    <t>CB</t>
  </si>
  <si>
    <t>Sveikatos ir socialinės apsaugos skyrius</t>
  </si>
  <si>
    <t>VšĮ Klaipėdos rajono savivaldybės Gargždų ligoninė</t>
  </si>
  <si>
    <t>7.1</t>
  </si>
  <si>
    <t>-*</t>
  </si>
  <si>
    <t>VšĮ Klaipėdos rajono savivaldybės Gargždų pirminės sveikatos priežiūros centras</t>
  </si>
  <si>
    <t>VšĮ Klaipėdos rajono savivaldybės Priekulės pirminės sveikatos priežiūros centras</t>
  </si>
  <si>
    <t>VšĮ Klaipėdos rajono savivaldybės Paupių pirminės sveikatos priežiūros centras</t>
  </si>
  <si>
    <t>BĮ Klaipėdos rajono savivaldybės visuomenės sveikatos biuras</t>
  </si>
  <si>
    <t>BĮ Klaipėdos rajono paramos šeimai centras</t>
  </si>
  <si>
    <t>BĮ Gargždų socialinių paslaugų centras</t>
  </si>
  <si>
    <t>BĮ Priekulės socialinių paslaugų centras</t>
  </si>
  <si>
    <t>Viliaus Gaigalaičio globos namai</t>
  </si>
  <si>
    <t>VšĮ Klaipėdos rajono savivaldybės sveikatos centras</t>
  </si>
  <si>
    <t>Kultūros skyrius</t>
  </si>
  <si>
    <t>KS</t>
  </si>
  <si>
    <t>Jono Lankučio viešoji biblioteka</t>
  </si>
  <si>
    <t>Statybos ir kelių priežiūros skyrius</t>
  </si>
  <si>
    <t>SKPS</t>
  </si>
  <si>
    <t>Infrastruktūros plėtros skyrius</t>
  </si>
  <si>
    <t>IPS</t>
  </si>
  <si>
    <t>AB „Klaipėdos vanduo“</t>
  </si>
  <si>
    <t>UAB „Klaipėdos rajono energija“ </t>
  </si>
  <si>
    <t>Strateginio planavimo ir projektų valdymo skyrius</t>
  </si>
  <si>
    <t>SPPVS</t>
  </si>
  <si>
    <t>Švietimo ir sporto skyrius</t>
  </si>
  <si>
    <t>ŠSS</t>
  </si>
  <si>
    <t>Gargždų „Minijos“ progimnazija</t>
  </si>
  <si>
    <t>Gargždų „Kranto“ progimnazija</t>
  </si>
  <si>
    <t>Gargždų „Vaivorykštės“ gimnazija</t>
  </si>
  <si>
    <t>Priekulės Ievos Simonaitytės gimnazija</t>
  </si>
  <si>
    <t>Veiviržėnų Jurgio Šaulio gimnazija</t>
  </si>
  <si>
    <t>Dituvos A. T. Kuršaičio pagrindinė mokykla</t>
  </si>
  <si>
    <t>Dovilų pagrindinė mokykla</t>
  </si>
  <si>
    <t>Ketvergių pagrindinė mokykla</t>
  </si>
  <si>
    <t>Kretingalės pagrindinė mokykla</t>
  </si>
  <si>
    <t>Plikių Ievos Labutytės pagrindinė mokykla</t>
  </si>
  <si>
    <t>Vėžaičių pagrindinė mokykla</t>
  </si>
  <si>
    <t>Gargždų lopšelis-darželis „Ąžuoliukas“</t>
  </si>
  <si>
    <t>Gargždų lopšelis-darželis „Gintarėlis“</t>
  </si>
  <si>
    <t>Gargždų lopšelis-darželis „Saulutė“</t>
  </si>
  <si>
    <t>Gargždų lopšelis-darželis „Naminukas“</t>
  </si>
  <si>
    <t>Priekulės vaikų lopšelis-darželis</t>
  </si>
  <si>
    <t>Vaikų ir jaunimo laisvalaikio centras</t>
  </si>
  <si>
    <t>Klaipėdos rajono švietimo centras</t>
  </si>
  <si>
    <t>BĮ Sporto centras</t>
  </si>
  <si>
    <t>Buriavimo mokykla „Žiemys“</t>
  </si>
  <si>
    <t>Klaipėdos rajono "Saulės" mokykla</t>
  </si>
  <si>
    <t xml:space="preserve">Teisės ir personalo skyrius </t>
  </si>
  <si>
    <t>TPS</t>
  </si>
  <si>
    <t>Viešosios tvarkos skyrius</t>
  </si>
  <si>
    <t>VTS</t>
  </si>
  <si>
    <t xml:space="preserve">Viešųjų pirkimų skyrius </t>
  </si>
  <si>
    <t>VPS</t>
  </si>
  <si>
    <t>Viešųjų ryšių ir bendradarbiavimo skyrius</t>
  </si>
  <si>
    <t>VRBS</t>
  </si>
  <si>
    <t>BĮ Klaipėdos rajono turizmo informacijos centras</t>
  </si>
  <si>
    <t>JRK</t>
  </si>
  <si>
    <t>Gargždų atviras jaunimo centras</t>
  </si>
  <si>
    <t>TIBK</t>
  </si>
  <si>
    <t>Komunalinio ūkio ir aplinkosaugos skyrius</t>
  </si>
  <si>
    <t>KUAS</t>
  </si>
  <si>
    <t>VšĮ Gargždų švara</t>
  </si>
  <si>
    <t>Endriejavo seniūnija</t>
  </si>
  <si>
    <t>Kretingalės seniūnija</t>
  </si>
  <si>
    <t>Klaipėdos rajono priešgaisrinė tarnyba</t>
  </si>
  <si>
    <t>UAB „Gargždų turgus“</t>
  </si>
  <si>
    <t>Žemės ūkio skyrius</t>
  </si>
  <si>
    <t>ŽŪS</t>
  </si>
  <si>
    <t>Paslaugų ir civilinės metrikacijos skyrius</t>
  </si>
  <si>
    <t>PCMS</t>
  </si>
  <si>
    <t>Informacinių technologijų skyrius</t>
  </si>
  <si>
    <t>ITS</t>
  </si>
  <si>
    <t>KAAK</t>
  </si>
  <si>
    <t>Turto valdymo skyrius</t>
  </si>
  <si>
    <t>TVS</t>
  </si>
  <si>
    <t>LGK</t>
  </si>
  <si>
    <t>Žemėtvarkos, geodezijos ir GIS skyrius</t>
  </si>
  <si>
    <t>ŽGGS</t>
  </si>
  <si>
    <t>-* nenaudojama santrumpa, naudojamas pilnas pavadinimas</t>
  </si>
  <si>
    <r>
      <t xml:space="preserve">Matavimo vieneto </t>
    </r>
    <r>
      <rPr>
        <b/>
        <sz val="8"/>
        <rFont val="Arial"/>
        <family val="2"/>
        <charset val="186"/>
      </rPr>
      <t>planuojama</t>
    </r>
    <r>
      <rPr>
        <sz val="8"/>
        <rFont val="Arial"/>
        <family val="2"/>
        <charset val="186"/>
      </rPr>
      <t xml:space="preserve"> reikšmė </t>
    </r>
    <r>
      <rPr>
        <b/>
        <sz val="8"/>
        <rFont val="Arial"/>
        <family val="2"/>
        <charset val="186"/>
      </rPr>
      <t>2026</t>
    </r>
    <r>
      <rPr>
        <sz val="8"/>
        <rFont val="Arial"/>
        <family val="2"/>
        <charset val="186"/>
      </rPr>
      <t xml:space="preserve"> metais</t>
    </r>
  </si>
  <si>
    <t>Klaipėdos rajono savivaldybės administracijos 2026 m. metinis veiklos planas</t>
  </si>
  <si>
    <t>VšĮ "Gargždų švara"</t>
  </si>
  <si>
    <t>Vykdyta veikla, vnt.</t>
  </si>
  <si>
    <t xml:space="preserve">Paskirstytos lėšos, proc. </t>
  </si>
  <si>
    <t xml:space="preserve">Sveikatos centras </t>
  </si>
  <si>
    <t>Sveikatos centras</t>
  </si>
  <si>
    <t>Priekulės PSPC</t>
  </si>
  <si>
    <t>Paupių PSPC</t>
  </si>
  <si>
    <t xml:space="preserve">Pervestos lėšos, proc.
Gavėjų skaičius, vnt.
</t>
  </si>
  <si>
    <t>100
112</t>
  </si>
  <si>
    <t>Pervestos lėšos, proc.
Gavėjų skaičius, vnt.</t>
  </si>
  <si>
    <t xml:space="preserve">100
39
</t>
  </si>
  <si>
    <t>1 PROGRAMA</t>
  </si>
  <si>
    <t>2 PROGRAMA</t>
  </si>
  <si>
    <t>3 PROGRAMA</t>
  </si>
  <si>
    <t>4 PROGRAMA</t>
  </si>
  <si>
    <t>5 PROGRAMA</t>
  </si>
  <si>
    <t>6 PROGRAMA</t>
  </si>
  <si>
    <t>7 PROGRAMA</t>
  </si>
  <si>
    <t>8 PROGRAMA</t>
  </si>
  <si>
    <t>9 PROGRAMA</t>
  </si>
  <si>
    <t>ŠSS,
U. Tamošauskienė</t>
  </si>
  <si>
    <t>SKPS, R. Sarulienė</t>
  </si>
  <si>
    <t>SKPS, J. Jackus</t>
  </si>
  <si>
    <t>Pastatyti karkasiniai nameliai, vnt.</t>
  </si>
  <si>
    <t>Atliktas architektūrinis konkursas, vnt.</t>
  </si>
  <si>
    <t>Parengta ekspertizė, vnt.
Gautas statybos leidimas, vnt.</t>
  </si>
  <si>
    <t>1
1</t>
  </si>
  <si>
    <t>KŪAS,
R. Gabrilavičius</t>
  </si>
  <si>
    <t>KŪAS, 
R. Gabrilavičius</t>
  </si>
  <si>
    <t>SKPS, 
R. Rudgalvienė,
J. Blinstrubienė</t>
  </si>
  <si>
    <t>SKPS,
J. Blinstrubienė</t>
  </si>
  <si>
    <t>SPPVS,
V. Kazlauskienė</t>
  </si>
  <si>
    <t>VšĮ "Gargždų futbolas"</t>
  </si>
  <si>
    <t>Buriavimo mokykla "Žiemys"</t>
  </si>
  <si>
    <t>Įgyvendinta programa, vnt.</t>
  </si>
  <si>
    <t>1.4.4.41.1.</t>
  </si>
  <si>
    <t>2.4.1.46.29.</t>
  </si>
  <si>
    <t>6.4.1.46.33.</t>
  </si>
  <si>
    <t>SSAS, V. Budrė</t>
  </si>
  <si>
    <t xml:space="preserve">Konkurso smurto, savižudybių, priklausomybių, prekybos žmonėmis prevencijos projekų organizavimas, vnt.
Komisijos paraiškoms vertinti sudarymas, vnt.
Sutarčių su vykdytojais sudarymas, vnt. 
</t>
  </si>
  <si>
    <t>1
1
3</t>
  </si>
  <si>
    <t xml:space="preserve">Kretingalės seniūnija, A. Monstavičienė  </t>
  </si>
  <si>
    <t>3.1.1.2.36.</t>
  </si>
  <si>
    <t>Skirtų premijų skaičius</t>
  </si>
  <si>
    <t>8-1-6</t>
  </si>
  <si>
    <t>Sportininkų ir jų trenerių skatinimas už pasiektus sporto laimėjimus</t>
  </si>
  <si>
    <t>5-3-3</t>
  </si>
  <si>
    <t>Diasporos programos įgyvendinimas</t>
  </si>
  <si>
    <t xml:space="preserve">5.2.1.4. </t>
  </si>
  <si>
    <t>5.2.1.4.29.</t>
  </si>
  <si>
    <t>Diasporos vaikų skaičius, kurie pasinaudojo stovyklų kompensacija</t>
  </si>
  <si>
    <t>VRS, R. Rapalienė</t>
  </si>
  <si>
    <t>Surengtas kraštiečių susitikimas, vnt.</t>
  </si>
  <si>
    <t>Gargždų sen., V. Žigus</t>
  </si>
  <si>
    <t>Įrengtas suoliukas, vnt.</t>
  </si>
  <si>
    <t>MDPP</t>
  </si>
  <si>
    <t>4-1-2-11</t>
  </si>
  <si>
    <t>Klaipėdos rajono savivaldybės sveikatos centro aikštelės sutvarkymas, ją rekonstruojant, įrengiant pėsčiųjų taką ir vandens gręžinį</t>
  </si>
  <si>
    <t>4.1.6.5.</t>
  </si>
  <si>
    <t>Atnaujinta automobilių stovėjimo aikštelė, vnt.
Įrengtas vandens gręžinys, vnt.</t>
  </si>
  <si>
    <t xml:space="preserve">Įvykdytas pirkimas, vnt. </t>
  </si>
  <si>
    <t>8-1-9</t>
  </si>
  <si>
    <t>Viešosios įstaigos "JJ krepšinio akademija" veiklos programos įgyvendinimo finansavimas</t>
  </si>
  <si>
    <t>8.1.2.16.</t>
  </si>
  <si>
    <t>Tarpinstitucinio bendradarbiavimo koordinatorius</t>
  </si>
  <si>
    <t>Už korupcijai atsparios aplinkos kūrimą atsakingas asmuo</t>
  </si>
  <si>
    <t>Lygių galimybių koordinatorius</t>
  </si>
  <si>
    <t>Už mobilizaciją ir priimančios šalies paramos teikimo funkcijų vykdymą atsakingas asmuo</t>
  </si>
  <si>
    <t>Žmogiškųjų išteklių valdymo ir personalo politikos kūrimo specialistas</t>
  </si>
  <si>
    <t>ŽIPS</t>
  </si>
  <si>
    <t xml:space="preserve">Įgyvendinta programa, vnt. </t>
  </si>
  <si>
    <t>Kompleksinių paslaugų centras vaikams su negalia ir dienos užimtumo centro steigimas</t>
  </si>
  <si>
    <t>Įsigyti projektavimo darbai, vnt.</t>
  </si>
  <si>
    <t>7-4-1-6-5</t>
  </si>
  <si>
    <t>Klaipėdos radijo stoties pastato, Pergalės g. 2, Jakų k., taikomieji tyrimai, tvarkybos projekto parengimas ir įgyvendinimas</t>
  </si>
  <si>
    <t>Įsigyti baldai ir kt. priemonės stovyklavietei</t>
  </si>
  <si>
    <t>3.1.1.81.29.</t>
  </si>
  <si>
    <t>V. Žigus</t>
  </si>
  <si>
    <t xml:space="preserve">Įsigyti projektavimo darbai, vnt. </t>
  </si>
  <si>
    <t xml:space="preserve">Įvykdytas lietaus nuotekų išvadų pirkimas, vnt. </t>
  </si>
  <si>
    <t>SKPS, M. Peckus</t>
  </si>
  <si>
    <t xml:space="preserve">%vykdytas pirkimas, vnt. </t>
  </si>
  <si>
    <t>2-2-1-4</t>
  </si>
  <si>
    <t>Pjaulių ir Brukšvų siurblinių efektyvumo didinimas, rekonstruojant blogos būklės vandens siurblius ir optimizuojant jų valdymą</t>
  </si>
  <si>
    <t>2.2.1.30.</t>
  </si>
  <si>
    <t>2.2.1.30.32.</t>
  </si>
  <si>
    <t>Rekonstruotų siurblių skaičius , vnt.</t>
  </si>
  <si>
    <t xml:space="preserve">Priekulės seniūnija </t>
  </si>
  <si>
    <t>2.2.1.8.32</t>
  </si>
  <si>
    <t xml:space="preserve">2.2.2.1.32. </t>
  </si>
  <si>
    <t>2-2-3</t>
  </si>
  <si>
    <t>Valstybės parama už žalą, patirtą dėl krizės ar ekstremalios situacijos</t>
  </si>
  <si>
    <t xml:space="preserve">2.1.2.4. </t>
  </si>
  <si>
    <t xml:space="preserve">Išmokėtos lėšos pareiškėjams, proc. </t>
  </si>
  <si>
    <t>2.4.1.21.29.</t>
  </si>
  <si>
    <t>SSAS, D. Pavilonytė</t>
  </si>
  <si>
    <t>6-6-2-4</t>
  </si>
  <si>
    <t>ŽŪS, J. Mykolaitis, R. Danielkus, L.Kundrotas</t>
  </si>
  <si>
    <t xml:space="preserve">Parengti remonto techniniai darbo projektai, vnt. 
</t>
  </si>
  <si>
    <t>Parengtas rekonstrukcijos techninis darbo projektas, atlikta ekspertizė vnt,</t>
  </si>
  <si>
    <t xml:space="preserve">Parengtas remonto techninis darbo projektas, vnt. </t>
  </si>
  <si>
    <t>SKPS, K. Jokubaitytė</t>
  </si>
  <si>
    <t>SKPS, R. Sarulienė, 
J. Blinstrubienė</t>
  </si>
  <si>
    <t xml:space="preserve">
KŪAS, R. Bakaitienė, 
K. Lūžaitė</t>
  </si>
  <si>
    <t>SSAS, R. Stonkienė</t>
  </si>
  <si>
    <t>SSAS, D. Beržanskytė-Bučinskienė</t>
  </si>
  <si>
    <t xml:space="preserve">SSAS, G. Rekašienė, </t>
  </si>
  <si>
    <t xml:space="preserve"> SSAS, G. Rekašienė, </t>
  </si>
  <si>
    <t>SSAS,R. Stonkienė</t>
  </si>
  <si>
    <t xml:space="preserve"> SSAS, L. Bakšinskienė</t>
  </si>
  <si>
    <t>SSAS, L. Pocienė</t>
  </si>
  <si>
    <t>SSAS, D. Skiotienė</t>
  </si>
  <si>
    <t>SSAS, D. Beržanskytė- Bučinskienė</t>
  </si>
  <si>
    <t>SSAS, S. Budrė</t>
  </si>
  <si>
    <t>SSAS, J. Papievienė</t>
  </si>
  <si>
    <t xml:space="preserve">KŪAS, R. Gabrilavičius </t>
  </si>
  <si>
    <t xml:space="preserve"> SSAS, I.Gailienė</t>
  </si>
  <si>
    <t>SSAS, I. Gailienė, S. Paulienė,
J. Papievienė,  L.Virkutienė,
S. Tverskienė</t>
  </si>
  <si>
    <t>SSAS,  L. Virkutienė</t>
  </si>
  <si>
    <t xml:space="preserve"> SSAS, I. Vytė</t>
  </si>
  <si>
    <t>KS, J. Dobrovolskienė</t>
  </si>
  <si>
    <t>KS, J. Polekauskienė</t>
  </si>
  <si>
    <t xml:space="preserve">KS, J. Polekauskienė
</t>
  </si>
  <si>
    <t>ATPS, S. Šmatauskienė</t>
  </si>
  <si>
    <t>Veiviržėnų seniūnija, 
E. Sluckienė</t>
  </si>
  <si>
    <t>SKPS, V. Ramanauskas</t>
  </si>
  <si>
    <t>SKPS, A. Ronkus, F. Žemgulys</t>
  </si>
  <si>
    <t>SKPS, E. Vasylienė</t>
  </si>
  <si>
    <t>Priekulės seniūnija, 
D. Bliūdžiuvienė</t>
  </si>
  <si>
    <t>KŪAS, K. Stulpinienė</t>
  </si>
  <si>
    <t>SKPS, A. Ronkus,
IPS, V. Valantinas,
SKPS, J. Jackus</t>
  </si>
  <si>
    <t>IPS, M. Kernagienė</t>
  </si>
  <si>
    <t>Jaunimo reikalų koordinatorė O. Bajorinienė</t>
  </si>
  <si>
    <t>BRS, D. Beliokaitė</t>
  </si>
  <si>
    <t>MDPP, V. Grekštienė</t>
  </si>
  <si>
    <t xml:space="preserve">Vykdytos visuomenės švietimo ir mokymo aplinkosaugos klausimais priemonės, vnt.
Vykdytos želdynų ir želdinių apsaugos, tvarkymo, būklės stebėsenos, želdynų kūrimo, želdinių veisimo ir inventorizavimo priemonės, vnt.
</t>
  </si>
  <si>
    <t>2
9</t>
  </si>
  <si>
    <t xml:space="preserve">Parkų, kuriuose įgyvendintos apsaugos nuo ispaninio ariono priemonės, skaičius (Gargždų ir Priekulės) </t>
  </si>
  <si>
    <t>VŠĮ "Gragždų švara"</t>
  </si>
  <si>
    <t>Atliekų surinkimo priemonių įsigijimas, kompl.</t>
  </si>
  <si>
    <t>6-2-1-31</t>
  </si>
  <si>
    <r>
      <rPr>
        <b/>
        <sz val="8"/>
        <rFont val="Arial"/>
        <family val="2"/>
        <charset val="186"/>
      </rPr>
      <t>Dangaus</t>
    </r>
    <r>
      <rPr>
        <sz val="8"/>
        <rFont val="Arial"/>
        <family val="2"/>
        <charset val="186"/>
      </rPr>
      <t xml:space="preserve"> gatvės (kelio Nr. 2212) Sendvario seniūnijoje rekonstrukcija/įrengimas </t>
    </r>
  </si>
  <si>
    <t>6.4.1.49.</t>
  </si>
  <si>
    <t>Sl(IL)</t>
  </si>
  <si>
    <t>M. Peckus</t>
  </si>
  <si>
    <t xml:space="preserve">Įvykdytas rangos darbų pirkimas, vnt. </t>
  </si>
  <si>
    <t>J. Jackus</t>
  </si>
  <si>
    <t xml:space="preserve">Atlikti modulinio priestato pagerinimo darbai, proc. </t>
  </si>
  <si>
    <t>SL(IL)</t>
  </si>
  <si>
    <t>9-3-1-12</t>
  </si>
  <si>
    <t>Dovilų seniūnijos (Lašupio g. 1A, Dovilai) pastato  rekonstrukcija</t>
  </si>
  <si>
    <t>9.1.1.24.</t>
  </si>
  <si>
    <t>Įvykdytas rangos darbų su darbo projektu pirkimas, vnt.</t>
  </si>
  <si>
    <t>Iš viso SL(IL)</t>
  </si>
  <si>
    <t>Iš viso SL:</t>
  </si>
  <si>
    <t>5-2-2-10</t>
  </si>
  <si>
    <t>Projekto "Pagalba vaikams su negalia" įgyvendinimas</t>
  </si>
  <si>
    <t>5.1.3.21.</t>
  </si>
  <si>
    <t>Įdarbintų asmenų skaičius, vnt.</t>
  </si>
  <si>
    <t>SL(I)</t>
  </si>
  <si>
    <t>1-2-3-24</t>
  </si>
  <si>
    <t>Klemiškės I k. mokyklos modulinio pastato statyba ir įrengimas</t>
  </si>
  <si>
    <t xml:space="preserve">1.3.3.27. </t>
  </si>
  <si>
    <t xml:space="preserve">Įvykdytas modulių įsigijimo pirkimas, vnt. </t>
  </si>
  <si>
    <t>SKPS, A. Ronkus,
 V. Ramanauskas, 
J. Jackus</t>
  </si>
  <si>
    <t>SL (IL)</t>
  </si>
  <si>
    <t>3-1-1-7</t>
  </si>
  <si>
    <t>Projektas „Ispaninio ariono kontrolės ir utilizavimo priemonės vietos bendruomenėse"</t>
  </si>
  <si>
    <t>3.2.2.27.</t>
  </si>
  <si>
    <t xml:space="preserve">Įvykdytas projekto parengiamosios veiklos, vnt. </t>
  </si>
  <si>
    <t>PATVIRTINTA 
Klaipėdos rajono savivaldybės administracijos direktoriaus 2026 m. kovo 17 d. įsakymu
Nr. AV-314 (Klaipėdos rajono savivaldybės administracijos direktoriaus 2026-08-28   įsakymo Nr. AV-1239 redakcija)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</si>
</sst>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"/>
    <numFmt numFmtId="165" formatCode="0.0"/>
    <numFmt numFmtId="166" formatCode="0.000"/>
    <numFmt numFmtId="167" formatCode="[$-427]yyyy\.mm\.dd"/>
    <numFmt numFmtId="168" formatCode="_-* #,##0.00\ _L_t_-;\-* #,##0.00\ _L_t_-;_-* &quot;-&quot;??\ _L_t_-;_-@_-"/>
  </numFmts>
  <fonts count="64" x14ac:knownFonts="1">
    <font>
      <sz val="10"/>
      <name val="Arial"/>
      <charset val="186"/>
    </font>
    <font>
      <sz val="8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b/>
      <sz val="8"/>
      <color theme="0"/>
      <name val="Arial"/>
      <family val="2"/>
      <charset val="186"/>
    </font>
    <font>
      <sz val="8"/>
      <color rgb="FFFF0000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sz val="11"/>
      <color rgb="FF01010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i/>
      <sz val="8"/>
      <name val="Arial"/>
      <family val="2"/>
      <charset val="186"/>
    </font>
    <font>
      <sz val="8"/>
      <color rgb="FF000000"/>
      <name val="Arial"/>
      <family val="2"/>
      <charset val="186"/>
    </font>
    <font>
      <b/>
      <sz val="8"/>
      <color rgb="FF000000"/>
      <name val="Arial"/>
      <family val="2"/>
      <charset val="186"/>
    </font>
    <font>
      <sz val="9"/>
      <name val="Arial"/>
      <family val="2"/>
      <charset val="186"/>
    </font>
    <font>
      <strike/>
      <sz val="8"/>
      <name val="Arial"/>
      <family val="2"/>
      <charset val="186"/>
    </font>
    <font>
      <b/>
      <sz val="8"/>
      <color theme="1"/>
      <name val="Arial"/>
      <family val="2"/>
      <charset val="186"/>
    </font>
    <font>
      <sz val="11"/>
      <color theme="1"/>
      <name val="Calibri"/>
      <family val="2"/>
      <scheme val="minor"/>
    </font>
    <font>
      <i/>
      <sz val="8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trike/>
      <sz val="8"/>
      <color rgb="FF000000"/>
      <name val="Arial"/>
      <family val="2"/>
      <charset val="186"/>
    </font>
    <font>
      <sz val="8"/>
      <name val="Arial"/>
      <family val="2"/>
    </font>
    <font>
      <sz val="8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8"/>
      <color rgb="FF000000"/>
      <name val="Arial"/>
      <family val="2"/>
    </font>
    <font>
      <sz val="8"/>
      <color rgb="FF00B050"/>
      <name val="Arial"/>
      <family val="2"/>
      <charset val="186"/>
    </font>
    <font>
      <sz val="8"/>
      <color indexed="8"/>
      <name val="Arial"/>
      <family val="2"/>
      <charset val="186"/>
    </font>
    <font>
      <sz val="11"/>
      <color indexed="8"/>
      <name val="Calibri"/>
      <family val="2"/>
    </font>
    <font>
      <u/>
      <sz val="10"/>
      <color theme="10"/>
      <name val="Arial"/>
      <family val="2"/>
      <charset val="186"/>
    </font>
    <font>
      <u/>
      <sz val="8"/>
      <color theme="10"/>
      <name val="Arial"/>
      <family val="2"/>
      <charset val="186"/>
    </font>
    <font>
      <i/>
      <sz val="8"/>
      <color theme="1"/>
      <name val="Arial"/>
      <family val="2"/>
      <charset val="186"/>
    </font>
    <font>
      <sz val="10"/>
      <name val="Arial"/>
      <family val="2"/>
      <charset val="186"/>
    </font>
    <font>
      <sz val="11"/>
      <name val="Times New Roman"/>
      <family val="1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sz val="14"/>
      <name val="Times New Roman"/>
      <family val="1"/>
    </font>
    <font>
      <sz val="14"/>
      <color rgb="FF00B050"/>
      <name val="Times New Roman"/>
      <family val="1"/>
    </font>
    <font>
      <sz val="7"/>
      <name val="Arial"/>
      <family val="2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8"/>
      <color rgb="FF6600CC"/>
      <name val="Arial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1"/>
      <color rgb="FF9C0006"/>
      <name val="Calibri"/>
      <family val="2"/>
      <charset val="186"/>
      <scheme val="minor"/>
    </font>
  </fonts>
  <fills count="5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DAB9"/>
        <bgColor indexed="64"/>
      </patternFill>
    </fill>
    <fill>
      <patternFill patternType="solid">
        <fgColor rgb="FFCAE9F6"/>
        <bgColor rgb="FFFFC000"/>
      </patternFill>
    </fill>
    <fill>
      <patternFill patternType="solid">
        <fgColor rgb="FFCAE9F6"/>
        <bgColor indexed="64"/>
      </patternFill>
    </fill>
    <fill>
      <patternFill patternType="solid">
        <fgColor rgb="FFD1ECF7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rgb="FFA9DCF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1ECF7"/>
        <bgColor rgb="FFFFC000"/>
      </patternFill>
    </fill>
    <fill>
      <patternFill patternType="solid">
        <fgColor theme="2"/>
        <bgColor indexed="64"/>
      </patternFill>
    </fill>
    <fill>
      <patternFill patternType="solid">
        <fgColor rgb="FF4FBED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E6E6E6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53D2FF"/>
        <bgColor indexed="64"/>
      </patternFill>
    </fill>
    <fill>
      <patternFill patternType="solid">
        <fgColor rgb="FFFFDAB9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rgb="FF7030A0"/>
        <bgColor indexed="64"/>
      </patternFill>
    </fill>
    <fill>
      <patternFill patternType="solid">
        <fgColor rgb="FFFFC7CE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3">
    <xf numFmtId="0" fontId="0" fillId="0" borderId="0"/>
    <xf numFmtId="0" fontId="14" fillId="0" borderId="0"/>
    <xf numFmtId="9" fontId="14" fillId="0" borderId="0" applyFont="0" applyFill="0" applyBorder="0" applyAlignment="0" applyProtection="0"/>
    <xf numFmtId="0" fontId="12" fillId="0" borderId="0"/>
    <xf numFmtId="0" fontId="14" fillId="0" borderId="0"/>
    <xf numFmtId="0" fontId="23" fillId="0" borderId="0"/>
    <xf numFmtId="0" fontId="12" fillId="0" borderId="0"/>
    <xf numFmtId="9" fontId="1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29" fillId="0" borderId="0"/>
    <xf numFmtId="0" fontId="14" fillId="0" borderId="0"/>
    <xf numFmtId="0" fontId="12" fillId="0" borderId="0"/>
    <xf numFmtId="0" fontId="29" fillId="0" borderId="0"/>
    <xf numFmtId="0" fontId="12" fillId="0" borderId="0"/>
    <xf numFmtId="0" fontId="34" fillId="0" borderId="0" applyNumberForma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168" fontId="1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47" fillId="0" borderId="59" applyNumberFormat="0" applyFill="0" applyAlignment="0" applyProtection="0"/>
    <xf numFmtId="0" fontId="48" fillId="0" borderId="60" applyNumberFormat="0" applyFill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36" borderId="0" applyNumberFormat="0" applyBorder="0" applyAlignment="0" applyProtection="0"/>
    <xf numFmtId="0" fontId="49" fillId="0" borderId="61" applyNumberFormat="0" applyFill="0" applyAlignment="0" applyProtection="0"/>
    <xf numFmtId="0" fontId="49" fillId="0" borderId="0" applyNumberFormat="0" applyFill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34" borderId="0" applyNumberFormat="0" applyBorder="0" applyAlignment="0" applyProtection="0"/>
    <xf numFmtId="0" fontId="29" fillId="37" borderId="0" applyNumberFormat="0" applyBorder="0" applyAlignment="0" applyProtection="0"/>
    <xf numFmtId="0" fontId="29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50" fillId="44" borderId="0" applyNumberFormat="0" applyBorder="0" applyAlignment="0" applyProtection="0"/>
    <xf numFmtId="0" fontId="51" fillId="0" borderId="0" applyNumberFormat="0" applyFill="0" applyBorder="0" applyAlignment="0" applyProtection="0"/>
    <xf numFmtId="0" fontId="52" fillId="32" borderId="0" applyNumberFormat="0" applyBorder="0" applyAlignment="0" applyProtection="0"/>
    <xf numFmtId="0" fontId="53" fillId="33" borderId="0" applyNumberFormat="0" applyBorder="0" applyAlignment="0" applyProtection="0"/>
    <xf numFmtId="0" fontId="55" fillId="49" borderId="64" applyNumberFormat="0" applyAlignment="0" applyProtection="0"/>
    <xf numFmtId="0" fontId="54" fillId="0" borderId="0" applyNumberFormat="0" applyFill="0" applyBorder="0" applyAlignment="0" applyProtection="0"/>
    <xf numFmtId="0" fontId="56" fillId="36" borderId="62" applyNumberFormat="0" applyAlignment="0" applyProtection="0"/>
    <xf numFmtId="0" fontId="57" fillId="51" borderId="0" applyNumberFormat="0" applyBorder="0" applyAlignment="0" applyProtection="0"/>
    <xf numFmtId="0" fontId="12" fillId="0" borderId="0"/>
    <xf numFmtId="0" fontId="50" fillId="45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50" fillId="48" borderId="0" applyNumberFormat="0" applyBorder="0" applyAlignment="0" applyProtection="0"/>
    <xf numFmtId="0" fontId="12" fillId="52" borderId="66" applyNumberFormat="0" applyFont="0" applyAlignment="0" applyProtection="0"/>
    <xf numFmtId="0" fontId="58" fillId="0" borderId="0" applyNumberFormat="0" applyFill="0" applyBorder="0" applyAlignment="0" applyProtection="0"/>
    <xf numFmtId="0" fontId="59" fillId="49" borderId="62" applyNumberFormat="0" applyAlignment="0" applyProtection="0"/>
    <xf numFmtId="0" fontId="60" fillId="0" borderId="67" applyNumberFormat="0" applyFill="0" applyAlignment="0" applyProtection="0"/>
    <xf numFmtId="0" fontId="61" fillId="0" borderId="65" applyNumberFormat="0" applyFill="0" applyAlignment="0" applyProtection="0"/>
    <xf numFmtId="0" fontId="62" fillId="50" borderId="63" applyNumberFormat="0" applyAlignment="0" applyProtection="0"/>
    <xf numFmtId="0" fontId="12" fillId="0" borderId="0"/>
    <xf numFmtId="0" fontId="12" fillId="0" borderId="0"/>
    <xf numFmtId="0" fontId="12" fillId="52" borderId="66" applyNumberFormat="0" applyFont="0" applyAlignment="0" applyProtection="0"/>
    <xf numFmtId="0" fontId="12" fillId="0" borderId="0"/>
    <xf numFmtId="0" fontId="14" fillId="0" borderId="0"/>
    <xf numFmtId="0" fontId="63" fillId="30" borderId="0" applyNumberFormat="0" applyBorder="0" applyAlignment="0" applyProtection="0"/>
    <xf numFmtId="0" fontId="29" fillId="0" borderId="0"/>
    <xf numFmtId="0" fontId="14" fillId="0" borderId="0"/>
    <xf numFmtId="0" fontId="12" fillId="0" borderId="0"/>
    <xf numFmtId="43" fontId="1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9" fontId="12" fillId="0" borderId="0" applyFont="0" applyFill="0" applyBorder="0" applyAlignment="0" applyProtection="0"/>
  </cellStyleXfs>
  <cellXfs count="1067">
    <xf numFmtId="0" fontId="0" fillId="0" borderId="0" xfId="0"/>
    <xf numFmtId="0" fontId="10" fillId="0" borderId="1" xfId="0" applyFont="1" applyBorder="1" applyAlignment="1">
      <alignment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wrapText="1"/>
    </xf>
    <xf numFmtId="0" fontId="11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1" fillId="0" borderId="7" xfId="0" applyFont="1" applyBorder="1" applyAlignment="1">
      <alignment wrapText="1"/>
    </xf>
    <xf numFmtId="0" fontId="10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/>
    </xf>
    <xf numFmtId="0" fontId="10" fillId="0" borderId="7" xfId="0" applyFont="1" applyBorder="1" applyAlignment="1">
      <alignment wrapText="1"/>
    </xf>
    <xf numFmtId="49" fontId="12" fillId="0" borderId="9" xfId="0" applyNumberFormat="1" applyFont="1" applyBorder="1" applyAlignment="1">
      <alignment horizontal="center"/>
    </xf>
    <xf numFmtId="0" fontId="10" fillId="0" borderId="10" xfId="0" applyFont="1" applyBorder="1" applyAlignment="1">
      <alignment wrapText="1"/>
    </xf>
    <xf numFmtId="0" fontId="10" fillId="0" borderId="11" xfId="0" applyFont="1" applyBorder="1" applyAlignment="1">
      <alignment horizontal="center" wrapText="1"/>
    </xf>
    <xf numFmtId="0" fontId="13" fillId="0" borderId="7" xfId="0" applyFont="1" applyBorder="1" applyAlignment="1">
      <alignment wrapText="1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5" fillId="0" borderId="0" xfId="0" applyFont="1"/>
    <xf numFmtId="3" fontId="16" fillId="0" borderId="5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35" fillId="0" borderId="8" xfId="16" applyFont="1" applyBorder="1" applyAlignment="1" applyProtection="1">
      <alignment vertical="center" wrapText="1"/>
    </xf>
    <xf numFmtId="0" fontId="15" fillId="0" borderId="8" xfId="16" applyFont="1" applyBorder="1" applyAlignment="1" applyProtection="1">
      <alignment vertical="center" wrapText="1"/>
    </xf>
    <xf numFmtId="0" fontId="38" fillId="0" borderId="16" xfId="0" applyFont="1" applyBorder="1" applyAlignment="1">
      <alignment wrapText="1"/>
    </xf>
    <xf numFmtId="0" fontId="38" fillId="0" borderId="19" xfId="0" applyFont="1" applyBorder="1" applyAlignment="1">
      <alignment wrapText="1"/>
    </xf>
    <xf numFmtId="0" fontId="38" fillId="0" borderId="20" xfId="0" applyFont="1" applyBorder="1" applyAlignment="1">
      <alignment wrapText="1"/>
    </xf>
    <xf numFmtId="0" fontId="38" fillId="0" borderId="11" xfId="0" applyFont="1" applyBorder="1" applyAlignment="1">
      <alignment wrapText="1"/>
    </xf>
    <xf numFmtId="0" fontId="38" fillId="0" borderId="34" xfId="0" applyFont="1" applyBorder="1"/>
    <xf numFmtId="0" fontId="38" fillId="26" borderId="33" xfId="0" applyFont="1" applyFill="1" applyBorder="1" applyAlignment="1">
      <alignment wrapText="1"/>
    </xf>
    <xf numFmtId="0" fontId="39" fillId="0" borderId="11" xfId="0" applyFont="1" applyBorder="1" applyAlignment="1">
      <alignment wrapText="1"/>
    </xf>
    <xf numFmtId="0" fontId="39" fillId="0" borderId="34" xfId="0" applyFont="1" applyBorder="1" applyAlignment="1">
      <alignment wrapText="1"/>
    </xf>
    <xf numFmtId="0" fontId="40" fillId="0" borderId="34" xfId="0" applyFont="1" applyBorder="1"/>
    <xf numFmtId="0" fontId="39" fillId="14" borderId="34" xfId="0" applyFont="1" applyFill="1" applyBorder="1"/>
    <xf numFmtId="0" fontId="39" fillId="0" borderId="34" xfId="0" applyFont="1" applyBorder="1"/>
    <xf numFmtId="0" fontId="41" fillId="14" borderId="34" xfId="0" applyFont="1" applyFill="1" applyBorder="1"/>
    <xf numFmtId="0" fontId="42" fillId="0" borderId="34" xfId="0" applyFont="1" applyBorder="1"/>
    <xf numFmtId="0" fontId="39" fillId="27" borderId="34" xfId="0" applyFont="1" applyFill="1" applyBorder="1"/>
    <xf numFmtId="0" fontId="39" fillId="0" borderId="33" xfId="0" applyFont="1" applyBorder="1"/>
    <xf numFmtId="0" fontId="41" fillId="26" borderId="34" xfId="0" applyFont="1" applyFill="1" applyBorder="1"/>
    <xf numFmtId="4" fontId="41" fillId="0" borderId="34" xfId="0" applyNumberFormat="1" applyFont="1" applyBorder="1" applyAlignment="1">
      <alignment wrapText="1"/>
    </xf>
    <xf numFmtId="0" fontId="41" fillId="0" borderId="34" xfId="0" applyFont="1" applyBorder="1"/>
    <xf numFmtId="0" fontId="15" fillId="0" borderId="5" xfId="0" applyFont="1" applyBorder="1" applyAlignment="1">
      <alignment horizontal="center" vertical="center" wrapText="1"/>
    </xf>
    <xf numFmtId="0" fontId="15" fillId="0" borderId="8" xfId="0" applyFont="1" applyBorder="1" applyAlignment="1" applyProtection="1">
      <alignment horizontal="center" vertical="center"/>
      <protection locked="0"/>
    </xf>
    <xf numFmtId="0" fontId="15" fillId="0" borderId="19" xfId="0" applyFont="1" applyBorder="1" applyAlignment="1" applyProtection="1">
      <alignment horizontal="center" vertical="center" wrapText="1"/>
      <protection locked="0"/>
    </xf>
    <xf numFmtId="165" fontId="15" fillId="10" borderId="19" xfId="0" applyNumberFormat="1" applyFont="1" applyFill="1" applyBorder="1" applyAlignment="1" applyProtection="1">
      <alignment horizontal="center" vertical="center" wrapText="1"/>
      <protection locked="0"/>
    </xf>
    <xf numFmtId="165" fontId="9" fillId="0" borderId="19" xfId="0" applyNumberFormat="1" applyFont="1" applyBorder="1" applyAlignment="1" applyProtection="1">
      <alignment horizontal="center" vertical="center" wrapText="1"/>
      <protection locked="0"/>
    </xf>
    <xf numFmtId="165" fontId="15" fillId="0" borderId="19" xfId="0" applyNumberFormat="1" applyFont="1" applyBorder="1" applyAlignment="1" applyProtection="1">
      <alignment horizontal="left" vertical="center" wrapText="1"/>
      <protection locked="0"/>
    </xf>
    <xf numFmtId="165" fontId="15" fillId="0" borderId="19" xfId="0" applyNumberFormat="1" applyFont="1" applyBorder="1" applyAlignment="1" applyProtection="1">
      <alignment horizontal="center" vertical="center" wrapText="1"/>
      <protection locked="0"/>
    </xf>
    <xf numFmtId="0" fontId="15" fillId="0" borderId="19" xfId="0" applyFont="1" applyBorder="1" applyAlignment="1" applyProtection="1">
      <alignment vertical="center" wrapText="1"/>
      <protection locked="0"/>
    </xf>
    <xf numFmtId="0" fontId="15" fillId="2" borderId="8" xfId="0" applyFont="1" applyFill="1" applyBorder="1" applyAlignment="1" applyProtection="1">
      <alignment horizontal="center" vertical="center"/>
      <protection locked="0"/>
    </xf>
    <xf numFmtId="165" fontId="15" fillId="10" borderId="36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19" xfId="3" applyFont="1" applyBorder="1" applyAlignment="1" applyProtection="1">
      <alignment horizontal="center" vertical="center" wrapText="1"/>
      <protection locked="0"/>
    </xf>
    <xf numFmtId="165" fontId="15" fillId="10" borderId="34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8" xfId="3" applyFont="1" applyBorder="1" applyAlignment="1" applyProtection="1">
      <alignment horizontal="center" vertical="center"/>
      <protection locked="0"/>
    </xf>
    <xf numFmtId="0" fontId="15" fillId="0" borderId="34" xfId="3" applyFont="1" applyBorder="1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  <xf numFmtId="0" fontId="15" fillId="0" borderId="19" xfId="3" applyFont="1" applyBorder="1" applyAlignment="1" applyProtection="1">
      <alignment horizontal="left" vertical="center" wrapText="1"/>
      <protection locked="0"/>
    </xf>
    <xf numFmtId="0" fontId="15" fillId="0" borderId="45" xfId="3" applyFont="1" applyBorder="1" applyAlignment="1" applyProtection="1">
      <alignment horizontal="left" vertical="center" wrapText="1"/>
      <protection locked="0"/>
    </xf>
    <xf numFmtId="0" fontId="15" fillId="0" borderId="36" xfId="3" applyFont="1" applyBorder="1" applyAlignment="1" applyProtection="1">
      <alignment horizontal="left" vertical="center" wrapText="1"/>
      <protection locked="0"/>
    </xf>
    <xf numFmtId="0" fontId="15" fillId="0" borderId="19" xfId="3" applyFont="1" applyBorder="1" applyAlignment="1" applyProtection="1">
      <alignment horizontal="left"/>
      <protection locked="0"/>
    </xf>
    <xf numFmtId="0" fontId="15" fillId="0" borderId="36" xfId="3" applyFont="1" applyBorder="1" applyAlignment="1" applyProtection="1">
      <alignment horizontal="left"/>
      <protection locked="0"/>
    </xf>
    <xf numFmtId="0" fontId="15" fillId="0" borderId="45" xfId="3" applyFont="1" applyBorder="1" applyAlignment="1" applyProtection="1">
      <alignment horizontal="left"/>
      <protection locked="0"/>
    </xf>
    <xf numFmtId="0" fontId="15" fillId="0" borderId="34" xfId="3" applyFont="1" applyBorder="1" applyAlignment="1" applyProtection="1">
      <alignment horizontal="center" vertical="center" wrapText="1"/>
      <protection locked="0"/>
    </xf>
    <xf numFmtId="0" fontId="15" fillId="0" borderId="19" xfId="11" applyFont="1" applyBorder="1" applyProtection="1">
      <protection locked="0"/>
    </xf>
    <xf numFmtId="0" fontId="15" fillId="0" borderId="8" xfId="3" applyFont="1" applyBorder="1" applyAlignment="1" applyProtection="1">
      <alignment wrapText="1"/>
      <protection locked="0"/>
    </xf>
    <xf numFmtId="164" fontId="16" fillId="0" borderId="19" xfId="3" applyNumberFormat="1" applyFont="1" applyBorder="1" applyAlignment="1" applyProtection="1">
      <alignment horizontal="center" vertical="center"/>
      <protection locked="0"/>
    </xf>
    <xf numFmtId="0" fontId="15" fillId="0" borderId="43" xfId="11" applyFont="1" applyBorder="1" applyAlignment="1" applyProtection="1">
      <alignment horizontal="left" vertical="center"/>
      <protection locked="0"/>
    </xf>
    <xf numFmtId="164" fontId="12" fillId="0" borderId="19" xfId="3" applyNumberFormat="1" applyBorder="1" applyProtection="1">
      <protection locked="0"/>
    </xf>
    <xf numFmtId="164" fontId="15" fillId="0" borderId="19" xfId="3" applyNumberFormat="1" applyFont="1" applyBorder="1" applyProtection="1">
      <protection locked="0"/>
    </xf>
    <xf numFmtId="164" fontId="12" fillId="0" borderId="36" xfId="3" applyNumberFormat="1" applyBorder="1" applyProtection="1">
      <protection locked="0"/>
    </xf>
    <xf numFmtId="164" fontId="12" fillId="0" borderId="34" xfId="3" applyNumberFormat="1" applyBorder="1" applyProtection="1">
      <protection locked="0"/>
    </xf>
    <xf numFmtId="0" fontId="12" fillId="0" borderId="19" xfId="0" applyFont="1" applyBorder="1" applyAlignment="1" applyProtection="1">
      <alignment wrapText="1"/>
      <protection locked="0"/>
    </xf>
    <xf numFmtId="0" fontId="15" fillId="0" borderId="8" xfId="0" applyFont="1" applyBorder="1" applyAlignment="1" applyProtection="1">
      <alignment wrapText="1"/>
      <protection locked="0"/>
    </xf>
    <xf numFmtId="0" fontId="15" fillId="0" borderId="8" xfId="0" applyFont="1" applyBorder="1" applyAlignment="1" applyProtection="1">
      <alignment horizontal="center" wrapText="1"/>
      <protection locked="0"/>
    </xf>
    <xf numFmtId="0" fontId="15" fillId="0" borderId="34" xfId="0" applyFont="1" applyBorder="1" applyAlignment="1" applyProtection="1">
      <alignment wrapText="1"/>
      <protection locked="0"/>
    </xf>
    <xf numFmtId="0" fontId="18" fillId="0" borderId="8" xfId="0" applyFont="1" applyBorder="1" applyAlignment="1" applyProtection="1">
      <alignment wrapText="1"/>
      <protection locked="0"/>
    </xf>
    <xf numFmtId="0" fontId="18" fillId="0" borderId="8" xfId="0" applyFont="1" applyBorder="1" applyAlignment="1" applyProtection="1">
      <alignment horizontal="center" wrapText="1"/>
      <protection locked="0"/>
    </xf>
    <xf numFmtId="0" fontId="18" fillId="0" borderId="34" xfId="0" applyFont="1" applyBorder="1" applyAlignment="1" applyProtection="1">
      <alignment wrapText="1"/>
      <protection locked="0"/>
    </xf>
    <xf numFmtId="0" fontId="18" fillId="0" borderId="8" xfId="0" applyFont="1" applyBorder="1" applyAlignment="1" applyProtection="1">
      <alignment horizontal="center"/>
      <protection locked="0"/>
    </xf>
    <xf numFmtId="0" fontId="18" fillId="0" borderId="34" xfId="0" applyFont="1" applyBorder="1" applyProtection="1">
      <protection locked="0"/>
    </xf>
    <xf numFmtId="0" fontId="18" fillId="0" borderId="31" xfId="0" applyFont="1" applyBorder="1" applyProtection="1">
      <protection locked="0"/>
    </xf>
    <xf numFmtId="0" fontId="15" fillId="0" borderId="45" xfId="0" applyFont="1" applyBorder="1" applyProtection="1">
      <protection locked="0"/>
    </xf>
    <xf numFmtId="0" fontId="25" fillId="0" borderId="8" xfId="0" applyFont="1" applyBorder="1" applyAlignment="1" applyProtection="1">
      <alignment wrapText="1"/>
      <protection locked="0"/>
    </xf>
    <xf numFmtId="0" fontId="25" fillId="0" borderId="8" xfId="0" applyFont="1" applyBorder="1" applyAlignment="1" applyProtection="1">
      <alignment horizontal="center"/>
      <protection locked="0"/>
    </xf>
    <xf numFmtId="0" fontId="25" fillId="0" borderId="34" xfId="0" applyFont="1" applyBorder="1" applyProtection="1">
      <protection locked="0"/>
    </xf>
    <xf numFmtId="0" fontId="16" fillId="14" borderId="8" xfId="0" applyFont="1" applyFill="1" applyBorder="1" applyAlignment="1" applyProtection="1">
      <alignment horizontal="center" wrapText="1"/>
      <protection locked="0"/>
    </xf>
    <xf numFmtId="0" fontId="16" fillId="14" borderId="31" xfId="0" applyFont="1" applyFill="1" applyBorder="1" applyAlignment="1" applyProtection="1">
      <alignment wrapText="1"/>
      <protection locked="0"/>
    </xf>
    <xf numFmtId="0" fontId="18" fillId="14" borderId="8" xfId="0" applyFont="1" applyFill="1" applyBorder="1" applyAlignment="1" applyProtection="1">
      <alignment wrapText="1"/>
      <protection locked="0"/>
    </xf>
    <xf numFmtId="0" fontId="16" fillId="14" borderId="45" xfId="0" applyFont="1" applyFill="1" applyBorder="1" applyAlignment="1" applyProtection="1">
      <alignment wrapText="1"/>
      <protection locked="0"/>
    </xf>
    <xf numFmtId="0" fontId="16" fillId="14" borderId="46" xfId="0" applyFont="1" applyFill="1" applyBorder="1" applyAlignment="1" applyProtection="1">
      <alignment wrapText="1"/>
      <protection locked="0"/>
    </xf>
    <xf numFmtId="0" fontId="19" fillId="14" borderId="8" xfId="0" applyFont="1" applyFill="1" applyBorder="1" applyAlignment="1" applyProtection="1">
      <alignment horizontal="center" wrapText="1"/>
      <protection locked="0"/>
    </xf>
    <xf numFmtId="0" fontId="19" fillId="14" borderId="46" xfId="0" applyFont="1" applyFill="1" applyBorder="1" applyAlignment="1" applyProtection="1">
      <alignment wrapText="1"/>
      <protection locked="0"/>
    </xf>
    <xf numFmtId="0" fontId="19" fillId="14" borderId="47" xfId="0" applyFont="1" applyFill="1" applyBorder="1" applyAlignment="1" applyProtection="1">
      <alignment wrapText="1"/>
      <protection locked="0"/>
    </xf>
    <xf numFmtId="0" fontId="15" fillId="0" borderId="34" xfId="0" applyFont="1" applyBorder="1" applyProtection="1">
      <protection locked="0"/>
    </xf>
    <xf numFmtId="0" fontId="18" fillId="14" borderId="8" xfId="0" applyFont="1" applyFill="1" applyBorder="1" applyAlignment="1" applyProtection="1">
      <alignment horizontal="center" wrapText="1"/>
      <protection locked="0"/>
    </xf>
    <xf numFmtId="0" fontId="18" fillId="14" borderId="34" xfId="0" applyFont="1" applyFill="1" applyBorder="1" applyProtection="1">
      <protection locked="0"/>
    </xf>
    <xf numFmtId="0" fontId="18" fillId="14" borderId="8" xfId="0" applyFont="1" applyFill="1" applyBorder="1" applyAlignment="1" applyProtection="1">
      <alignment horizontal="center"/>
      <protection locked="0"/>
    </xf>
    <xf numFmtId="0" fontId="18" fillId="0" borderId="45" xfId="0" applyFont="1" applyBorder="1" applyProtection="1"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14" borderId="8" xfId="0" applyFont="1" applyFill="1" applyBorder="1" applyAlignment="1" applyProtection="1">
      <alignment wrapText="1"/>
      <protection locked="0"/>
    </xf>
    <xf numFmtId="0" fontId="18" fillId="0" borderId="19" xfId="0" applyFont="1" applyBorder="1" applyProtection="1">
      <protection locked="0"/>
    </xf>
    <xf numFmtId="0" fontId="18" fillId="0" borderId="0" xfId="0" applyFont="1" applyProtection="1">
      <protection locked="0"/>
    </xf>
    <xf numFmtId="0" fontId="18" fillId="14" borderId="46" xfId="0" applyFont="1" applyFill="1" applyBorder="1" applyProtection="1">
      <protection locked="0"/>
    </xf>
    <xf numFmtId="0" fontId="18" fillId="14" borderId="47" xfId="0" applyFont="1" applyFill="1" applyBorder="1" applyProtection="1">
      <protection locked="0"/>
    </xf>
    <xf numFmtId="0" fontId="19" fillId="0" borderId="8" xfId="0" applyFont="1" applyBorder="1" applyAlignment="1" applyProtection="1">
      <alignment horizontal="center"/>
      <protection locked="0"/>
    </xf>
    <xf numFmtId="0" fontId="16" fillId="0" borderId="19" xfId="0" applyFont="1" applyBorder="1" applyAlignment="1" applyProtection="1">
      <alignment wrapText="1"/>
      <protection locked="0"/>
    </xf>
    <xf numFmtId="0" fontId="16" fillId="0" borderId="8" xfId="0" applyFont="1" applyBorder="1" applyAlignment="1" applyProtection="1">
      <alignment horizontal="center"/>
      <protection locked="0"/>
    </xf>
    <xf numFmtId="0" fontId="16" fillId="0" borderId="34" xfId="0" applyFont="1" applyBorder="1" applyAlignment="1" applyProtection="1">
      <alignment wrapText="1"/>
      <protection locked="0"/>
    </xf>
    <xf numFmtId="0" fontId="19" fillId="0" borderId="8" xfId="0" applyFont="1" applyBorder="1" applyAlignment="1" applyProtection="1">
      <alignment horizontal="center" wrapText="1"/>
      <protection locked="0"/>
    </xf>
    <xf numFmtId="0" fontId="19" fillId="0" borderId="34" xfId="0" applyFont="1" applyBorder="1" applyAlignment="1" applyProtection="1">
      <alignment wrapText="1"/>
      <protection locked="0"/>
    </xf>
    <xf numFmtId="0" fontId="9" fillId="0" borderId="34" xfId="0" applyFont="1" applyBorder="1" applyAlignment="1" applyProtection="1">
      <alignment wrapText="1"/>
      <protection locked="0"/>
    </xf>
    <xf numFmtId="0" fontId="18" fillId="14" borderId="34" xfId="0" applyFont="1" applyFill="1" applyBorder="1" applyAlignment="1" applyProtection="1">
      <alignment wrapText="1"/>
      <protection locked="0"/>
    </xf>
    <xf numFmtId="0" fontId="18" fillId="0" borderId="36" xfId="0" applyFont="1" applyBorder="1" applyProtection="1">
      <protection locked="0"/>
    </xf>
    <xf numFmtId="0" fontId="18" fillId="0" borderId="19" xfId="0" applyFont="1" applyBorder="1" applyAlignment="1" applyProtection="1">
      <alignment wrapText="1"/>
      <protection locked="0"/>
    </xf>
    <xf numFmtId="0" fontId="25" fillId="0" borderId="36" xfId="0" applyFont="1" applyBorder="1" applyProtection="1">
      <protection locked="0"/>
    </xf>
    <xf numFmtId="0" fontId="15" fillId="0" borderId="45" xfId="0" applyFont="1" applyBorder="1" applyAlignment="1" applyProtection="1">
      <alignment wrapText="1"/>
      <protection locked="0"/>
    </xf>
    <xf numFmtId="0" fontId="15" fillId="0" borderId="46" xfId="0" applyFont="1" applyBorder="1" applyAlignment="1" applyProtection="1">
      <alignment wrapText="1"/>
      <protection locked="0"/>
    </xf>
    <xf numFmtId="0" fontId="15" fillId="0" borderId="31" xfId="0" applyFont="1" applyBorder="1" applyProtection="1">
      <protection locked="0"/>
    </xf>
    <xf numFmtId="0" fontId="15" fillId="0" borderId="48" xfId="0" applyFont="1" applyBorder="1" applyProtection="1">
      <protection locked="0"/>
    </xf>
    <xf numFmtId="0" fontId="15" fillId="0" borderId="47" xfId="0" applyFont="1" applyBorder="1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18" fillId="0" borderId="46" xfId="0" applyFont="1" applyBorder="1" applyProtection="1">
      <protection locked="0"/>
    </xf>
    <xf numFmtId="0" fontId="15" fillId="0" borderId="45" xfId="0" applyFont="1" applyBorder="1" applyAlignment="1" applyProtection="1">
      <alignment horizontal="left"/>
      <protection locked="0"/>
    </xf>
    <xf numFmtId="0" fontId="15" fillId="0" borderId="19" xfId="14" applyFont="1" applyBorder="1" applyProtection="1">
      <protection locked="0"/>
    </xf>
    <xf numFmtId="164" fontId="15" fillId="0" borderId="19" xfId="14" applyNumberFormat="1" applyFont="1" applyBorder="1" applyProtection="1">
      <protection locked="0"/>
    </xf>
    <xf numFmtId="0" fontId="15" fillId="0" borderId="36" xfId="14" applyFont="1" applyBorder="1" applyProtection="1">
      <protection locked="0"/>
    </xf>
    <xf numFmtId="0" fontId="15" fillId="0" borderId="45" xfId="14" applyFont="1" applyBorder="1" applyProtection="1">
      <protection locked="0"/>
    </xf>
    <xf numFmtId="0" fontId="29" fillId="0" borderId="45" xfId="14" applyBorder="1" applyProtection="1">
      <protection locked="0"/>
    </xf>
    <xf numFmtId="0" fontId="29" fillId="0" borderId="34" xfId="14" applyBorder="1" applyProtection="1">
      <protection locked="0"/>
    </xf>
    <xf numFmtId="0" fontId="32" fillId="0" borderId="19" xfId="14" applyFont="1" applyBorder="1" applyProtection="1">
      <protection locked="0"/>
    </xf>
    <xf numFmtId="0" fontId="18" fillId="0" borderId="19" xfId="3" applyFont="1" applyBorder="1" applyProtection="1">
      <protection locked="0"/>
    </xf>
    <xf numFmtId="0" fontId="29" fillId="0" borderId="19" xfId="14" applyBorder="1" applyProtection="1">
      <protection locked="0"/>
    </xf>
    <xf numFmtId="0" fontId="12" fillId="0" borderId="46" xfId="14" applyFont="1" applyBorder="1" applyProtection="1">
      <protection locked="0"/>
    </xf>
    <xf numFmtId="0" fontId="12" fillId="0" borderId="19" xfId="3" applyBorder="1" applyProtection="1">
      <protection locked="0"/>
    </xf>
    <xf numFmtId="165" fontId="15" fillId="10" borderId="19" xfId="3" applyNumberFormat="1" applyFont="1" applyFill="1" applyBorder="1" applyAlignment="1" applyProtection="1">
      <alignment horizontal="center" vertical="center" wrapText="1"/>
      <protection locked="0"/>
    </xf>
    <xf numFmtId="0" fontId="15" fillId="0" borderId="19" xfId="3" applyFont="1" applyBorder="1" applyAlignment="1" applyProtection="1">
      <alignment horizontal="center" vertical="center"/>
      <protection locked="0"/>
    </xf>
    <xf numFmtId="0" fontId="15" fillId="0" borderId="8" xfId="3" applyFont="1" applyBorder="1" applyAlignment="1" applyProtection="1">
      <alignment vertical="center" wrapText="1"/>
      <protection locked="0"/>
    </xf>
    <xf numFmtId="3" fontId="15" fillId="0" borderId="8" xfId="3" applyNumberFormat="1" applyFont="1" applyBorder="1" applyAlignment="1" applyProtection="1">
      <alignment vertical="center" wrapText="1"/>
      <protection locked="0"/>
    </xf>
    <xf numFmtId="0" fontId="12" fillId="0" borderId="45" xfId="3" applyBorder="1" applyAlignment="1" applyProtection="1">
      <alignment horizontal="left" wrapText="1"/>
      <protection locked="0"/>
    </xf>
    <xf numFmtId="0" fontId="12" fillId="0" borderId="19" xfId="3" applyBorder="1" applyAlignment="1" applyProtection="1">
      <alignment horizontal="left" wrapText="1"/>
      <protection locked="0"/>
    </xf>
    <xf numFmtId="3" fontId="15" fillId="2" borderId="8" xfId="3" applyNumberFormat="1" applyFont="1" applyFill="1" applyBorder="1" applyAlignment="1" applyProtection="1">
      <alignment vertical="center" wrapText="1"/>
      <protection locked="0"/>
    </xf>
    <xf numFmtId="3" fontId="15" fillId="0" borderId="8" xfId="6" applyNumberFormat="1" applyFont="1" applyBorder="1" applyAlignment="1" applyProtection="1">
      <alignment vertical="center" wrapText="1"/>
      <protection locked="0"/>
    </xf>
    <xf numFmtId="3" fontId="15" fillId="0" borderId="8" xfId="15" applyNumberFormat="1" applyFont="1" applyBorder="1" applyAlignment="1" applyProtection="1">
      <alignment vertical="center" wrapText="1"/>
      <protection locked="0"/>
    </xf>
    <xf numFmtId="3" fontId="15" fillId="0" borderId="8" xfId="5" applyNumberFormat="1" applyFont="1" applyBorder="1" applyAlignment="1" applyProtection="1">
      <alignment vertical="center" wrapText="1"/>
      <protection locked="0"/>
    </xf>
    <xf numFmtId="0" fontId="15" fillId="0" borderId="8" xfId="3" applyFont="1" applyBorder="1" applyProtection="1">
      <protection locked="0"/>
    </xf>
    <xf numFmtId="0" fontId="14" fillId="0" borderId="8" xfId="8" applyBorder="1" applyAlignment="1" applyProtection="1">
      <alignment wrapText="1"/>
      <protection locked="0"/>
    </xf>
    <xf numFmtId="0" fontId="12" fillId="0" borderId="19" xfId="3" applyBorder="1" applyAlignment="1" applyProtection="1">
      <alignment wrapText="1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8" xfId="0" applyFont="1" applyBorder="1" applyAlignment="1" applyProtection="1">
      <alignment horizontal="center" vertical="center" wrapText="1"/>
      <protection locked="0"/>
    </xf>
    <xf numFmtId="0" fontId="15" fillId="2" borderId="8" xfId="0" applyFont="1" applyFill="1" applyBorder="1" applyAlignment="1" applyProtection="1">
      <alignment horizontal="center" vertical="center" wrapText="1"/>
      <protection locked="0"/>
    </xf>
    <xf numFmtId="0" fontId="15" fillId="0" borderId="8" xfId="3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0" borderId="5" xfId="0" applyFont="1" applyBorder="1" applyAlignment="1">
      <alignment horizontal="left" vertical="center" wrapText="1"/>
    </xf>
    <xf numFmtId="0" fontId="15" fillId="0" borderId="29" xfId="0" applyFont="1" applyBorder="1" applyAlignment="1">
      <alignment horizontal="left" vertical="center" wrapText="1"/>
    </xf>
    <xf numFmtId="0" fontId="15" fillId="0" borderId="8" xfId="0" applyFont="1" applyBorder="1" applyAlignment="1" applyProtection="1">
      <alignment horizontal="left" vertical="center" wrapText="1"/>
      <protection locked="0"/>
    </xf>
    <xf numFmtId="0" fontId="15" fillId="2" borderId="8" xfId="0" applyFont="1" applyFill="1" applyBorder="1" applyAlignment="1" applyProtection="1">
      <alignment horizontal="left" vertical="center" wrapText="1"/>
      <protection locked="0"/>
    </xf>
    <xf numFmtId="0" fontId="15" fillId="0" borderId="8" xfId="3" applyFont="1" applyBorder="1" applyAlignment="1" applyProtection="1">
      <alignment horizontal="left" vertical="center" wrapText="1"/>
      <protection locked="0"/>
    </xf>
    <xf numFmtId="0" fontId="15" fillId="0" borderId="8" xfId="0" applyFont="1" applyBorder="1" applyAlignment="1" applyProtection="1">
      <alignment horizontal="left" wrapText="1"/>
      <protection locked="0"/>
    </xf>
    <xf numFmtId="0" fontId="19" fillId="0" borderId="8" xfId="0" applyFont="1" applyBorder="1" applyAlignment="1" applyProtection="1">
      <alignment horizontal="left" wrapText="1"/>
      <protection locked="0"/>
    </xf>
    <xf numFmtId="0" fontId="18" fillId="0" borderId="8" xfId="0" applyFont="1" applyBorder="1" applyAlignment="1" applyProtection="1">
      <alignment horizontal="left" wrapText="1"/>
      <protection locked="0"/>
    </xf>
    <xf numFmtId="0" fontId="25" fillId="0" borderId="8" xfId="0" applyFont="1" applyBorder="1" applyAlignment="1" applyProtection="1">
      <alignment horizontal="left" wrapText="1"/>
      <protection locked="0"/>
    </xf>
    <xf numFmtId="0" fontId="19" fillId="14" borderId="8" xfId="0" applyFont="1" applyFill="1" applyBorder="1" applyAlignment="1" applyProtection="1">
      <alignment horizontal="left" wrapText="1"/>
      <protection locked="0"/>
    </xf>
    <xf numFmtId="0" fontId="18" fillId="14" borderId="8" xfId="0" applyFont="1" applyFill="1" applyBorder="1" applyAlignment="1" applyProtection="1">
      <alignment horizontal="left" wrapText="1"/>
      <protection locked="0"/>
    </xf>
    <xf numFmtId="0" fontId="15" fillId="14" borderId="8" xfId="0" applyFont="1" applyFill="1" applyBorder="1" applyAlignment="1" applyProtection="1">
      <alignment horizontal="left" wrapText="1"/>
      <protection locked="0"/>
    </xf>
    <xf numFmtId="0" fontId="0" fillId="14" borderId="8" xfId="0" applyFill="1" applyBorder="1" applyAlignment="1" applyProtection="1">
      <alignment horizontal="left" wrapText="1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164" fontId="15" fillId="0" borderId="8" xfId="3" applyNumberFormat="1" applyFont="1" applyBorder="1" applyAlignment="1" applyProtection="1">
      <alignment wrapText="1"/>
      <protection locked="0"/>
    </xf>
    <xf numFmtId="0" fontId="15" fillId="0" borderId="0" xfId="3" applyFont="1" applyAlignment="1" applyProtection="1">
      <alignment wrapText="1"/>
      <protection locked="0"/>
    </xf>
    <xf numFmtId="0" fontId="15" fillId="0" borderId="48" xfId="3" applyFont="1" applyBorder="1" applyAlignment="1" applyProtection="1">
      <alignment horizontal="left"/>
      <protection locked="0"/>
    </xf>
    <xf numFmtId="0" fontId="15" fillId="0" borderId="11" xfId="3" applyFont="1" applyBorder="1" applyAlignment="1" applyProtection="1">
      <alignment horizontal="left" vertical="center" wrapText="1"/>
      <protection locked="0"/>
    </xf>
    <xf numFmtId="0" fontId="15" fillId="0" borderId="11" xfId="3" applyFont="1" applyBorder="1" applyAlignment="1" applyProtection="1">
      <alignment horizontal="center" vertical="center"/>
      <protection locked="0"/>
    </xf>
    <xf numFmtId="0" fontId="15" fillId="0" borderId="46" xfId="3" applyFont="1" applyBorder="1" applyAlignment="1" applyProtection="1">
      <alignment horizontal="left"/>
      <protection locked="0"/>
    </xf>
    <xf numFmtId="165" fontId="15" fillId="10" borderId="8" xfId="3" applyNumberFormat="1" applyFont="1" applyFill="1" applyBorder="1" applyAlignment="1" applyProtection="1">
      <alignment horizontal="left" vertical="center" wrapText="1"/>
      <protection locked="0"/>
    </xf>
    <xf numFmtId="164" fontId="15" fillId="0" borderId="8" xfId="3" applyNumberFormat="1" applyFont="1" applyBorder="1" applyAlignment="1" applyProtection="1">
      <alignment horizontal="left" vertical="center"/>
      <protection locked="0"/>
    </xf>
    <xf numFmtId="164" fontId="15" fillId="0" borderId="8" xfId="3" applyNumberFormat="1" applyFont="1" applyBorder="1" applyAlignment="1" applyProtection="1">
      <alignment horizontal="left" vertical="center" wrapText="1"/>
      <protection locked="0"/>
    </xf>
    <xf numFmtId="164" fontId="15" fillId="2" borderId="8" xfId="3" applyNumberFormat="1" applyFont="1" applyFill="1" applyBorder="1" applyAlignment="1" applyProtection="1">
      <alignment horizontal="left" vertical="center"/>
      <protection locked="0"/>
    </xf>
    <xf numFmtId="0" fontId="15" fillId="0" borderId="8" xfId="3" applyFont="1" applyBorder="1" applyAlignment="1" applyProtection="1">
      <alignment horizontal="left"/>
      <protection locked="0"/>
    </xf>
    <xf numFmtId="164" fontId="12" fillId="0" borderId="8" xfId="3" applyNumberFormat="1" applyBorder="1" applyProtection="1">
      <protection locked="0"/>
    </xf>
    <xf numFmtId="0" fontId="15" fillId="0" borderId="11" xfId="0" applyFont="1" applyBorder="1" applyAlignment="1" applyProtection="1">
      <alignment horizontal="left" vertical="center" wrapText="1"/>
      <protection locked="0"/>
    </xf>
    <xf numFmtId="0" fontId="15" fillId="0" borderId="19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left" vertical="center" wrapText="1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12" fillId="0" borderId="48" xfId="3" applyBorder="1" applyProtection="1">
      <protection locked="0"/>
    </xf>
    <xf numFmtId="0" fontId="15" fillId="0" borderId="11" xfId="0" applyFont="1" applyBorder="1" applyAlignment="1" applyProtection="1">
      <alignment horizontal="center" vertical="center"/>
      <protection locked="0"/>
    </xf>
    <xf numFmtId="0" fontId="29" fillId="0" borderId="46" xfId="14" applyBorder="1" applyProtection="1">
      <protection locked="0"/>
    </xf>
    <xf numFmtId="0" fontId="29" fillId="0" borderId="8" xfId="14" applyBorder="1" applyProtection="1">
      <protection locked="0"/>
    </xf>
    <xf numFmtId="0" fontId="12" fillId="0" borderId="8" xfId="3" applyBorder="1" applyProtection="1">
      <protection locked="0"/>
    </xf>
    <xf numFmtId="0" fontId="15" fillId="0" borderId="8" xfId="14" applyFont="1" applyBorder="1" applyAlignment="1" applyProtection="1">
      <alignment horizontal="left" vertical="center"/>
      <protection locked="0"/>
    </xf>
    <xf numFmtId="0" fontId="15" fillId="0" borderId="8" xfId="14" applyFont="1" applyBorder="1" applyProtection="1">
      <protection locked="0"/>
    </xf>
    <xf numFmtId="0" fontId="12" fillId="0" borderId="8" xfId="3" applyBorder="1" applyAlignment="1" applyProtection="1">
      <alignment horizontal="left" wrapText="1"/>
      <protection locked="0"/>
    </xf>
    <xf numFmtId="0" fontId="15" fillId="4" borderId="8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textRotation="90" wrapText="1"/>
    </xf>
    <xf numFmtId="0" fontId="15" fillId="5" borderId="8" xfId="0" applyFont="1" applyFill="1" applyBorder="1" applyAlignment="1">
      <alignment vertical="center" wrapText="1"/>
    </xf>
    <xf numFmtId="3" fontId="15" fillId="5" borderId="8" xfId="0" applyNumberFormat="1" applyFont="1" applyFill="1" applyBorder="1" applyAlignment="1">
      <alignment horizontal="center" vertical="center" wrapText="1"/>
    </xf>
    <xf numFmtId="3" fontId="15" fillId="5" borderId="8" xfId="0" applyNumberFormat="1" applyFont="1" applyFill="1" applyBorder="1" applyAlignment="1">
      <alignment horizontal="center" vertical="center" textRotation="90" wrapText="1"/>
    </xf>
    <xf numFmtId="0" fontId="15" fillId="0" borderId="8" xfId="0" applyFont="1" applyBorder="1" applyAlignment="1">
      <alignment horizontal="center" vertical="center"/>
    </xf>
    <xf numFmtId="49" fontId="15" fillId="6" borderId="8" xfId="0" quotePrefix="1" applyNumberFormat="1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vertical="center" wrapText="1"/>
    </xf>
    <xf numFmtId="3" fontId="15" fillId="0" borderId="8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textRotation="90" wrapText="1"/>
    </xf>
    <xf numFmtId="164" fontId="16" fillId="9" borderId="8" xfId="3" applyNumberFormat="1" applyFont="1" applyFill="1" applyBorder="1" applyAlignment="1">
      <alignment horizontal="center" vertical="center" wrapText="1"/>
    </xf>
    <xf numFmtId="14" fontId="15" fillId="0" borderId="8" xfId="0" quotePrefix="1" applyNumberFormat="1" applyFont="1" applyBorder="1" applyAlignment="1">
      <alignment horizontal="center" vertical="center" wrapText="1"/>
    </xf>
    <xf numFmtId="0" fontId="15" fillId="0" borderId="8" xfId="3" applyFont="1" applyBorder="1" applyAlignment="1">
      <alignment vertical="center" wrapText="1"/>
    </xf>
    <xf numFmtId="0" fontId="15" fillId="0" borderId="8" xfId="3" applyFont="1" applyBorder="1" applyAlignment="1">
      <alignment horizontal="center" vertical="center" wrapText="1"/>
    </xf>
    <xf numFmtId="164" fontId="15" fillId="0" borderId="8" xfId="3" applyNumberFormat="1" applyFont="1" applyBorder="1" applyAlignment="1">
      <alignment horizontal="center" vertical="center" wrapText="1"/>
    </xf>
    <xf numFmtId="164" fontId="15" fillId="2" borderId="8" xfId="3" applyNumberFormat="1" applyFont="1" applyFill="1" applyBorder="1" applyAlignment="1">
      <alignment horizontal="center" vertical="center" wrapText="1"/>
    </xf>
    <xf numFmtId="0" fontId="15" fillId="11" borderId="8" xfId="0" applyFont="1" applyFill="1" applyBorder="1" applyAlignment="1">
      <alignment horizontal="center" vertical="center" wrapText="1"/>
    </xf>
    <xf numFmtId="0" fontId="15" fillId="2" borderId="8" xfId="3" applyFont="1" applyFill="1" applyBorder="1" applyAlignment="1">
      <alignment horizontal="center" vertical="center" wrapText="1"/>
    </xf>
    <xf numFmtId="49" fontId="15" fillId="0" borderId="8" xfId="3" applyNumberFormat="1" applyFont="1" applyBorder="1" applyAlignment="1">
      <alignment horizontal="center" vertical="center" wrapText="1"/>
    </xf>
    <xf numFmtId="0" fontId="15" fillId="0" borderId="21" xfId="3" applyFont="1" applyBorder="1" applyAlignment="1">
      <alignment horizontal="left" vertical="center" wrapText="1"/>
    </xf>
    <xf numFmtId="0" fontId="15" fillId="0" borderId="11" xfId="3" applyFont="1" applyBorder="1" applyAlignment="1">
      <alignment horizontal="left" vertical="center" wrapText="1"/>
    </xf>
    <xf numFmtId="49" fontId="15" fillId="2" borderId="8" xfId="3" applyNumberFormat="1" applyFont="1" applyFill="1" applyBorder="1" applyAlignment="1">
      <alignment horizontal="center" vertical="center" wrapText="1"/>
    </xf>
    <xf numFmtId="164" fontId="15" fillId="9" borderId="8" xfId="3" applyNumberFormat="1" applyFont="1" applyFill="1" applyBorder="1" applyAlignment="1">
      <alignment horizontal="center" vertical="center" wrapText="1"/>
    </xf>
    <xf numFmtId="164" fontId="15" fillId="11" borderId="8" xfId="3" applyNumberFormat="1" applyFont="1" applyFill="1" applyBorder="1" applyAlignment="1">
      <alignment horizontal="center" vertical="center" wrapText="1"/>
    </xf>
    <xf numFmtId="0" fontId="15" fillId="13" borderId="8" xfId="3" applyFont="1" applyFill="1" applyBorder="1" applyAlignment="1">
      <alignment horizontal="center" vertical="center" wrapText="1"/>
    </xf>
    <xf numFmtId="0" fontId="15" fillId="13" borderId="8" xfId="3" applyFont="1" applyFill="1" applyBorder="1" applyAlignment="1">
      <alignment vertical="center" wrapText="1"/>
    </xf>
    <xf numFmtId="164" fontId="18" fillId="9" borderId="8" xfId="3" applyNumberFormat="1" applyFont="1" applyFill="1" applyBorder="1" applyAlignment="1">
      <alignment horizontal="center" vertical="center" wrapText="1"/>
    </xf>
    <xf numFmtId="49" fontId="15" fillId="0" borderId="8" xfId="3" applyNumberFormat="1" applyFont="1" applyBorder="1" applyAlignment="1">
      <alignment vertical="center" wrapText="1"/>
    </xf>
    <xf numFmtId="0" fontId="15" fillId="2" borderId="8" xfId="3" applyFont="1" applyFill="1" applyBorder="1" applyAlignment="1">
      <alignment vertical="center" wrapText="1"/>
    </xf>
    <xf numFmtId="1" fontId="15" fillId="12" borderId="8" xfId="3" applyNumberFormat="1" applyFont="1" applyFill="1" applyBorder="1" applyAlignment="1">
      <alignment horizontal="center" vertical="center" wrapText="1"/>
    </xf>
    <xf numFmtId="49" fontId="15" fillId="0" borderId="8" xfId="3" applyNumberFormat="1" applyFont="1" applyBorder="1" applyAlignment="1">
      <alignment horizontal="center" vertical="center"/>
    </xf>
    <xf numFmtId="0" fontId="18" fillId="0" borderId="22" xfId="0" applyFont="1" applyBorder="1" applyAlignment="1">
      <alignment wrapText="1"/>
    </xf>
    <xf numFmtId="165" fontId="15" fillId="11" borderId="8" xfId="0" applyNumberFormat="1" applyFont="1" applyFill="1" applyBorder="1" applyAlignment="1">
      <alignment horizontal="center" vertical="center" wrapText="1"/>
    </xf>
    <xf numFmtId="1" fontId="15" fillId="12" borderId="19" xfId="3" applyNumberFormat="1" applyFont="1" applyFill="1" applyBorder="1" applyAlignment="1">
      <alignment horizontal="center" vertical="center" wrapText="1"/>
    </xf>
    <xf numFmtId="49" fontId="15" fillId="15" borderId="8" xfId="0" quotePrefix="1" applyNumberFormat="1" applyFont="1" applyFill="1" applyBorder="1" applyAlignment="1">
      <alignment horizontal="center" vertical="center" wrapText="1"/>
    </xf>
    <xf numFmtId="49" fontId="15" fillId="15" borderId="17" xfId="0" quotePrefix="1" applyNumberFormat="1" applyFont="1" applyFill="1" applyBorder="1" applyAlignment="1">
      <alignment horizontal="center" vertical="center" wrapText="1"/>
    </xf>
    <xf numFmtId="0" fontId="15" fillId="8" borderId="18" xfId="0" applyFont="1" applyFill="1" applyBorder="1" applyAlignment="1">
      <alignment horizontal="left" vertical="center" wrapText="1"/>
    </xf>
    <xf numFmtId="0" fontId="15" fillId="0" borderId="19" xfId="3" applyFont="1" applyBorder="1" applyAlignment="1">
      <alignment horizontal="center" vertical="center" wrapText="1"/>
    </xf>
    <xf numFmtId="0" fontId="15" fillId="0" borderId="8" xfId="0" applyFont="1" applyBorder="1"/>
    <xf numFmtId="0" fontId="15" fillId="0" borderId="17" xfId="0" applyFont="1" applyBorder="1"/>
    <xf numFmtId="0" fontId="15" fillId="0" borderId="18" xfId="0" applyFont="1" applyBorder="1" applyAlignment="1">
      <alignment vertical="center" wrapText="1"/>
    </xf>
    <xf numFmtId="1" fontId="15" fillId="12" borderId="19" xfId="3" quotePrefix="1" applyNumberFormat="1" applyFont="1" applyFill="1" applyBorder="1" applyAlignment="1">
      <alignment horizontal="center" vertical="center" wrapText="1"/>
    </xf>
    <xf numFmtId="14" fontId="15" fillId="0" borderId="17" xfId="0" quotePrefix="1" applyNumberFormat="1" applyFont="1" applyBorder="1" applyAlignment="1">
      <alignment horizontal="center" vertical="center" wrapText="1"/>
    </xf>
    <xf numFmtId="1" fontId="15" fillId="12" borderId="8" xfId="3" quotePrefix="1" applyNumberFormat="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vertical="center" wrapText="1"/>
    </xf>
    <xf numFmtId="0" fontId="15" fillId="8" borderId="8" xfId="0" applyFont="1" applyFill="1" applyBorder="1" applyAlignment="1">
      <alignment vertical="center" wrapText="1"/>
    </xf>
    <xf numFmtId="0" fontId="15" fillId="0" borderId="8" xfId="0" quotePrefix="1" applyFont="1" applyBorder="1" applyAlignment="1">
      <alignment horizontal="center" vertical="center" wrapText="1"/>
    </xf>
    <xf numFmtId="0" fontId="9" fillId="0" borderId="8" xfId="3" applyFont="1" applyBorder="1" applyAlignment="1">
      <alignment vertical="center" wrapText="1"/>
    </xf>
    <xf numFmtId="0" fontId="15" fillId="0" borderId="8" xfId="3" applyFont="1" applyBorder="1" applyAlignment="1">
      <alignment horizontal="left" vertical="center" wrapText="1"/>
    </xf>
    <xf numFmtId="166" fontId="15" fillId="0" borderId="8" xfId="3" quotePrefix="1" applyNumberFormat="1" applyFont="1" applyBorder="1" applyAlignment="1">
      <alignment horizontal="center" vertical="center" wrapText="1"/>
    </xf>
    <xf numFmtId="166" fontId="15" fillId="0" borderId="8" xfId="3" quotePrefix="1" applyNumberFormat="1" applyFont="1" applyBorder="1" applyAlignment="1">
      <alignment vertical="center" wrapText="1"/>
    </xf>
    <xf numFmtId="1" fontId="15" fillId="0" borderId="8" xfId="3" applyNumberFormat="1" applyFont="1" applyBorder="1" applyAlignment="1">
      <alignment horizontal="center" vertical="center" wrapText="1"/>
    </xf>
    <xf numFmtId="1" fontId="15" fillId="0" borderId="8" xfId="3" applyNumberFormat="1" applyFont="1" applyBorder="1" applyAlignment="1">
      <alignment vertical="center" wrapText="1"/>
    </xf>
    <xf numFmtId="0" fontId="15" fillId="17" borderId="8" xfId="3" applyFont="1" applyFill="1" applyBorder="1" applyAlignment="1">
      <alignment horizontal="center" vertical="center" wrapText="1"/>
    </xf>
    <xf numFmtId="0" fontId="15" fillId="0" borderId="8" xfId="3" applyFont="1" applyBorder="1" applyAlignment="1">
      <alignment horizontal="right" vertical="center" wrapText="1"/>
    </xf>
    <xf numFmtId="49" fontId="15" fillId="7" borderId="8" xfId="0" quotePrefix="1" applyNumberFormat="1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164" fontId="16" fillId="7" borderId="8" xfId="0" applyNumberFormat="1" applyFont="1" applyFill="1" applyBorder="1" applyAlignment="1">
      <alignment horizontal="center" vertical="center" wrapText="1"/>
    </xf>
    <xf numFmtId="49" fontId="15" fillId="0" borderId="8" xfId="0" quotePrefix="1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49" fontId="15" fillId="9" borderId="8" xfId="0" quotePrefix="1" applyNumberFormat="1" applyFont="1" applyFill="1" applyBorder="1" applyAlignment="1">
      <alignment horizontal="center" vertical="center" wrapText="1"/>
    </xf>
    <xf numFmtId="164" fontId="15" fillId="9" borderId="8" xfId="0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4" fontId="15" fillId="2" borderId="8" xfId="3" applyNumberFormat="1" applyFont="1" applyFill="1" applyBorder="1" applyAlignment="1">
      <alignment horizontal="center" vertical="center" wrapText="1"/>
    </xf>
    <xf numFmtId="0" fontId="15" fillId="10" borderId="8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wrapText="1"/>
    </xf>
    <xf numFmtId="164" fontId="18" fillId="0" borderId="8" xfId="0" applyNumberFormat="1" applyFont="1" applyBorder="1" applyAlignment="1">
      <alignment horizontal="center" vertical="center"/>
    </xf>
    <xf numFmtId="0" fontId="15" fillId="2" borderId="8" xfId="0" quotePrefix="1" applyFont="1" applyFill="1" applyBorder="1" applyAlignment="1">
      <alignment horizontal="center" vertical="center" wrapText="1"/>
    </xf>
    <xf numFmtId="0" fontId="18" fillId="0" borderId="8" xfId="0" applyFont="1" applyBorder="1" applyAlignment="1">
      <alignment vertical="center" wrapText="1"/>
    </xf>
    <xf numFmtId="164" fontId="15" fillId="11" borderId="18" xfId="3" applyNumberFormat="1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left" vertical="center" wrapText="1"/>
    </xf>
    <xf numFmtId="164" fontId="15" fillId="9" borderId="18" xfId="3" applyNumberFormat="1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center" wrapText="1"/>
    </xf>
    <xf numFmtId="1" fontId="15" fillId="0" borderId="8" xfId="3" quotePrefix="1" applyNumberFormat="1" applyFont="1" applyBorder="1" applyAlignment="1">
      <alignment horizontal="center" vertical="center" wrapText="1"/>
    </xf>
    <xf numFmtId="0" fontId="15" fillId="2" borderId="15" xfId="3" applyFont="1" applyFill="1" applyBorder="1" applyAlignment="1">
      <alignment horizontal="left" vertical="center" wrapText="1"/>
    </xf>
    <xf numFmtId="0" fontId="15" fillId="0" borderId="15" xfId="0" applyFont="1" applyBorder="1" applyAlignment="1">
      <alignment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2" borderId="8" xfId="0" applyFont="1" applyFill="1" applyBorder="1" applyAlignment="1">
      <alignment vertical="center" wrapText="1"/>
    </xf>
    <xf numFmtId="164" fontId="15" fillId="11" borderId="15" xfId="3" applyNumberFormat="1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vertical="center" wrapText="1"/>
    </xf>
    <xf numFmtId="164" fontId="15" fillId="2" borderId="8" xfId="0" applyNumberFormat="1" applyFont="1" applyFill="1" applyBorder="1" applyAlignment="1">
      <alignment horizontal="center" vertical="center"/>
    </xf>
    <xf numFmtId="0" fontId="15" fillId="0" borderId="15" xfId="0" quotePrefix="1" applyFont="1" applyBorder="1" applyAlignment="1">
      <alignment horizontal="center" vertical="center" wrapText="1"/>
    </xf>
    <xf numFmtId="0" fontId="15" fillId="2" borderId="15" xfId="0" applyFont="1" applyFill="1" applyBorder="1" applyAlignment="1">
      <alignment vertical="center" wrapText="1"/>
    </xf>
    <xf numFmtId="0" fontId="15" fillId="10" borderId="15" xfId="0" applyFont="1" applyFill="1" applyBorder="1" applyAlignment="1">
      <alignment horizontal="center" vertical="center" wrapText="1"/>
    </xf>
    <xf numFmtId="14" fontId="15" fillId="2" borderId="15" xfId="3" applyNumberFormat="1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wrapText="1"/>
    </xf>
    <xf numFmtId="0" fontId="15" fillId="2" borderId="17" xfId="0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11" borderId="17" xfId="0" applyFont="1" applyFill="1" applyBorder="1" applyAlignment="1">
      <alignment horizontal="center" vertical="center" wrapText="1"/>
    </xf>
    <xf numFmtId="0" fontId="15" fillId="16" borderId="8" xfId="0" applyFont="1" applyFill="1" applyBorder="1" applyAlignment="1">
      <alignment vertical="center" wrapText="1"/>
    </xf>
    <xf numFmtId="164" fontId="15" fillId="16" borderId="11" xfId="3" applyNumberFormat="1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right" vertical="center" wrapText="1"/>
    </xf>
    <xf numFmtId="164" fontId="15" fillId="16" borderId="8" xfId="3" applyNumberFormat="1" applyFont="1" applyFill="1" applyBorder="1" applyAlignment="1">
      <alignment horizontal="center" vertical="center" wrapText="1"/>
    </xf>
    <xf numFmtId="0" fontId="15" fillId="0" borderId="11" xfId="0" quotePrefix="1" applyFont="1" applyBorder="1" applyAlignment="1">
      <alignment horizontal="center" vertical="center" wrapText="1"/>
    </xf>
    <xf numFmtId="0" fontId="15" fillId="11" borderId="11" xfId="0" applyFont="1" applyFill="1" applyBorder="1" applyAlignment="1">
      <alignment horizontal="center" vertical="center" wrapText="1"/>
    </xf>
    <xf numFmtId="164" fontId="15" fillId="11" borderId="11" xfId="3" applyNumberFormat="1" applyFont="1" applyFill="1" applyBorder="1" applyAlignment="1">
      <alignment horizontal="center" vertical="center" wrapText="1"/>
    </xf>
    <xf numFmtId="0" fontId="15" fillId="10" borderId="21" xfId="0" applyFont="1" applyFill="1" applyBorder="1" applyAlignment="1">
      <alignment horizontal="center" vertical="center" wrapText="1"/>
    </xf>
    <xf numFmtId="164" fontId="16" fillId="18" borderId="8" xfId="3" applyNumberFormat="1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164" fontId="16" fillId="2" borderId="8" xfId="3" applyNumberFormat="1" applyFont="1" applyFill="1" applyBorder="1" applyAlignment="1">
      <alignment horizontal="center" vertical="center" wrapText="1"/>
    </xf>
    <xf numFmtId="0" fontId="15" fillId="2" borderId="11" xfId="3" applyFont="1" applyFill="1" applyBorder="1" applyAlignment="1">
      <alignment horizontal="center" vertical="center" wrapText="1"/>
    </xf>
    <xf numFmtId="0" fontId="15" fillId="5" borderId="11" xfId="3" applyFont="1" applyFill="1" applyBorder="1" applyAlignment="1">
      <alignment horizontal="center" vertical="center" textRotation="90" wrapText="1"/>
    </xf>
    <xf numFmtId="0" fontId="15" fillId="5" borderId="11" xfId="3" applyFont="1" applyFill="1" applyBorder="1" applyAlignment="1">
      <alignment vertical="center" wrapText="1"/>
    </xf>
    <xf numFmtId="3" fontId="15" fillId="5" borderId="11" xfId="3" applyNumberFormat="1" applyFont="1" applyFill="1" applyBorder="1" applyAlignment="1">
      <alignment horizontal="center" vertical="center" wrapText="1"/>
    </xf>
    <xf numFmtId="3" fontId="15" fillId="5" borderId="11" xfId="3" applyNumberFormat="1" applyFont="1" applyFill="1" applyBorder="1" applyAlignment="1">
      <alignment horizontal="center" vertical="center" textRotation="90" wrapText="1"/>
    </xf>
    <xf numFmtId="0" fontId="15" fillId="0" borderId="8" xfId="3" applyFont="1" applyBorder="1" applyAlignment="1">
      <alignment horizontal="center" vertical="center"/>
    </xf>
    <xf numFmtId="49" fontId="15" fillId="15" borderId="8" xfId="3" quotePrefix="1" applyNumberFormat="1" applyFont="1" applyFill="1" applyBorder="1" applyAlignment="1">
      <alignment horizontal="center" vertical="center" wrapText="1"/>
    </xf>
    <xf numFmtId="0" fontId="18" fillId="8" borderId="8" xfId="3" applyFont="1" applyFill="1" applyBorder="1" applyAlignment="1">
      <alignment horizontal="left" vertical="center" wrapText="1"/>
    </xf>
    <xf numFmtId="0" fontId="15" fillId="0" borderId="8" xfId="3" quotePrefix="1" applyFont="1" applyBorder="1" applyAlignment="1">
      <alignment horizontal="center" vertical="center" wrapText="1"/>
    </xf>
    <xf numFmtId="0" fontId="15" fillId="2" borderId="8" xfId="3" applyFont="1" applyFill="1" applyBorder="1" applyAlignment="1">
      <alignment horizontal="center" vertical="center"/>
    </xf>
    <xf numFmtId="0" fontId="15" fillId="11" borderId="8" xfId="3" applyFont="1" applyFill="1" applyBorder="1" applyAlignment="1">
      <alignment horizontal="center" vertical="center" wrapText="1"/>
    </xf>
    <xf numFmtId="0" fontId="15" fillId="8" borderId="8" xfId="3" applyFont="1" applyFill="1" applyBorder="1" applyAlignment="1">
      <alignment horizontal="left" vertical="center" wrapText="1"/>
    </xf>
    <xf numFmtId="0" fontId="15" fillId="5" borderId="8" xfId="3" applyFont="1" applyFill="1" applyBorder="1" applyAlignment="1">
      <alignment horizontal="center" vertical="center" textRotation="90" wrapText="1"/>
    </xf>
    <xf numFmtId="0" fontId="15" fillId="5" borderId="8" xfId="3" applyFont="1" applyFill="1" applyBorder="1" applyAlignment="1">
      <alignment vertical="center" wrapText="1"/>
    </xf>
    <xf numFmtId="3" fontId="15" fillId="5" borderId="8" xfId="3" applyNumberFormat="1" applyFont="1" applyFill="1" applyBorder="1" applyAlignment="1">
      <alignment horizontal="center" vertical="center" wrapText="1"/>
    </xf>
    <xf numFmtId="3" fontId="15" fillId="5" borderId="8" xfId="3" applyNumberFormat="1" applyFont="1" applyFill="1" applyBorder="1" applyAlignment="1">
      <alignment horizontal="center" vertical="center" textRotation="90" wrapText="1"/>
    </xf>
    <xf numFmtId="164" fontId="15" fillId="5" borderId="8" xfId="3" applyNumberFormat="1" applyFont="1" applyFill="1" applyBorder="1" applyAlignment="1">
      <alignment horizontal="center" vertical="center" wrapText="1"/>
    </xf>
    <xf numFmtId="165" fontId="16" fillId="8" borderId="8" xfId="3" applyNumberFormat="1" applyFont="1" applyFill="1" applyBorder="1" applyAlignment="1">
      <alignment horizontal="center" vertical="center" wrapText="1"/>
    </xf>
    <xf numFmtId="164" fontId="16" fillId="8" borderId="8" xfId="3" applyNumberFormat="1" applyFont="1" applyFill="1" applyBorder="1" applyAlignment="1">
      <alignment horizontal="center" vertical="center" wrapText="1"/>
    </xf>
    <xf numFmtId="164" fontId="15" fillId="9" borderId="17" xfId="3" applyNumberFormat="1" applyFont="1" applyFill="1" applyBorder="1" applyAlignment="1">
      <alignment horizontal="left" vertical="center" wrapText="1"/>
    </xf>
    <xf numFmtId="165" fontId="18" fillId="19" borderId="8" xfId="3" applyNumberFormat="1" applyFont="1" applyFill="1" applyBorder="1" applyAlignment="1">
      <alignment horizontal="center" vertical="center" wrapText="1"/>
    </xf>
    <xf numFmtId="164" fontId="18" fillId="19" borderId="8" xfId="3" applyNumberFormat="1" applyFont="1" applyFill="1" applyBorder="1" applyAlignment="1">
      <alignment horizontal="center" vertical="center" wrapText="1"/>
    </xf>
    <xf numFmtId="49" fontId="18" fillId="0" borderId="8" xfId="3" applyNumberFormat="1" applyFont="1" applyBorder="1" applyAlignment="1">
      <alignment horizontal="center" vertical="center" wrapText="1"/>
    </xf>
    <xf numFmtId="0" fontId="18" fillId="14" borderId="8" xfId="3" applyFont="1" applyFill="1" applyBorder="1" applyAlignment="1">
      <alignment horizontal="center" vertical="center" wrapText="1"/>
    </xf>
    <xf numFmtId="0" fontId="18" fillId="0" borderId="8" xfId="3" applyFont="1" applyBorder="1" applyAlignment="1">
      <alignment horizontal="center" vertical="center" wrapText="1"/>
    </xf>
    <xf numFmtId="0" fontId="18" fillId="0" borderId="8" xfId="3" applyFont="1" applyBorder="1" applyAlignment="1">
      <alignment vertical="center" wrapText="1"/>
    </xf>
    <xf numFmtId="0" fontId="24" fillId="21" borderId="8" xfId="3" applyFont="1" applyFill="1" applyBorder="1" applyAlignment="1">
      <alignment horizontal="center" vertical="center" wrapText="1"/>
    </xf>
    <xf numFmtId="164" fontId="24" fillId="19" borderId="8" xfId="3" applyNumberFormat="1" applyFont="1" applyFill="1" applyBorder="1" applyAlignment="1">
      <alignment horizontal="center" vertical="center" wrapText="1"/>
    </xf>
    <xf numFmtId="0" fontId="18" fillId="0" borderId="22" xfId="3" applyFont="1" applyBorder="1" applyAlignment="1">
      <alignment wrapText="1"/>
    </xf>
    <xf numFmtId="49" fontId="18" fillId="0" borderId="37" xfId="3" applyNumberFormat="1" applyFont="1" applyBorder="1" applyAlignment="1">
      <alignment horizontal="center" vertical="center" wrapText="1"/>
    </xf>
    <xf numFmtId="0" fontId="18" fillId="0" borderId="37" xfId="3" applyFont="1" applyBorder="1" applyAlignment="1">
      <alignment horizontal="center" vertical="center" wrapText="1"/>
    </xf>
    <xf numFmtId="0" fontId="18" fillId="0" borderId="37" xfId="3" applyFont="1" applyBorder="1" applyAlignment="1">
      <alignment vertical="center" wrapText="1"/>
    </xf>
    <xf numFmtId="0" fontId="18" fillId="14" borderId="37" xfId="3" applyFont="1" applyFill="1" applyBorder="1" applyAlignment="1">
      <alignment horizontal="center" vertical="center" wrapText="1"/>
    </xf>
    <xf numFmtId="0" fontId="24" fillId="21" borderId="37" xfId="3" applyFont="1" applyFill="1" applyBorder="1" applyAlignment="1">
      <alignment horizontal="center" vertical="center" wrapText="1"/>
    </xf>
    <xf numFmtId="164" fontId="24" fillId="19" borderId="37" xfId="3" applyNumberFormat="1" applyFont="1" applyFill="1" applyBorder="1" applyAlignment="1">
      <alignment horizontal="center" vertical="center" wrapText="1"/>
    </xf>
    <xf numFmtId="0" fontId="18" fillId="0" borderId="37" xfId="3" applyFont="1" applyBorder="1" applyAlignment="1">
      <alignment wrapText="1"/>
    </xf>
    <xf numFmtId="0" fontId="18" fillId="14" borderId="18" xfId="3" applyFont="1" applyFill="1" applyBorder="1" applyAlignment="1">
      <alignment horizontal="center" vertical="center" wrapText="1"/>
    </xf>
    <xf numFmtId="0" fontId="18" fillId="0" borderId="18" xfId="3" applyFont="1" applyBorder="1" applyAlignment="1">
      <alignment horizontal="center" vertical="center" wrapText="1"/>
    </xf>
    <xf numFmtId="0" fontId="18" fillId="0" borderId="18" xfId="3" applyFont="1" applyBorder="1" applyAlignment="1">
      <alignment vertical="center" wrapText="1"/>
    </xf>
    <xf numFmtId="49" fontId="18" fillId="0" borderId="18" xfId="3" applyNumberFormat="1" applyFont="1" applyBorder="1" applyAlignment="1">
      <alignment horizontal="center" vertical="center" wrapText="1"/>
    </xf>
    <xf numFmtId="0" fontId="24" fillId="14" borderId="18" xfId="3" applyFont="1" applyFill="1" applyBorder="1" applyAlignment="1">
      <alignment horizontal="center" vertical="center" wrapText="1"/>
    </xf>
    <xf numFmtId="164" fontId="24" fillId="19" borderId="11" xfId="3" applyNumberFormat="1" applyFont="1" applyFill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/>
    </xf>
    <xf numFmtId="49" fontId="18" fillId="0" borderId="11" xfId="3" applyNumberFormat="1" applyFont="1" applyBorder="1" applyAlignment="1">
      <alignment horizontal="center" vertical="center" wrapText="1"/>
    </xf>
    <xf numFmtId="0" fontId="18" fillId="14" borderId="11" xfId="3" applyFont="1" applyFill="1" applyBorder="1" applyAlignment="1">
      <alignment horizontal="center" vertical="center" wrapText="1"/>
    </xf>
    <xf numFmtId="0" fontId="18" fillId="0" borderId="11" xfId="3" applyFont="1" applyBorder="1" applyAlignment="1">
      <alignment wrapText="1"/>
    </xf>
    <xf numFmtId="0" fontId="18" fillId="0" borderId="11" xfId="3" applyFont="1" applyBorder="1" applyAlignment="1">
      <alignment horizontal="center" vertical="center" wrapText="1"/>
    </xf>
    <xf numFmtId="0" fontId="18" fillId="0" borderId="11" xfId="3" applyFont="1" applyBorder="1" applyAlignment="1">
      <alignment vertical="center" wrapText="1"/>
    </xf>
    <xf numFmtId="0" fontId="24" fillId="14" borderId="11" xfId="3" applyFont="1" applyFill="1" applyBorder="1" applyAlignment="1">
      <alignment horizontal="center" vertical="center" wrapText="1"/>
    </xf>
    <xf numFmtId="0" fontId="18" fillId="0" borderId="8" xfId="3" applyFont="1" applyBorder="1" applyAlignment="1">
      <alignment vertical="top" wrapText="1"/>
    </xf>
    <xf numFmtId="0" fontId="24" fillId="0" borderId="8" xfId="3" applyFont="1" applyBorder="1" applyAlignment="1">
      <alignment horizontal="center" vertical="center"/>
    </xf>
    <xf numFmtId="0" fontId="18" fillId="0" borderId="11" xfId="6" applyFont="1" applyBorder="1" applyAlignment="1">
      <alignment horizontal="center" vertical="center" wrapText="1"/>
    </xf>
    <xf numFmtId="0" fontId="18" fillId="14" borderId="8" xfId="6" applyFont="1" applyFill="1" applyBorder="1" applyAlignment="1">
      <alignment horizontal="center" vertical="center" wrapText="1"/>
    </xf>
    <xf numFmtId="0" fontId="18" fillId="0" borderId="8" xfId="6" applyFont="1" applyBorder="1" applyAlignment="1">
      <alignment horizontal="center" vertical="center" wrapText="1"/>
    </xf>
    <xf numFmtId="0" fontId="18" fillId="0" borderId="8" xfId="6" applyFont="1" applyBorder="1" applyAlignment="1">
      <alignment vertical="center" wrapText="1"/>
    </xf>
    <xf numFmtId="0" fontId="18" fillId="14" borderId="11" xfId="6" applyFont="1" applyFill="1" applyBorder="1" applyAlignment="1">
      <alignment horizontal="center" vertical="center" wrapText="1"/>
    </xf>
    <xf numFmtId="0" fontId="24" fillId="21" borderId="8" xfId="6" applyFont="1" applyFill="1" applyBorder="1" applyAlignment="1">
      <alignment horizontal="center" vertical="center" wrapText="1"/>
    </xf>
    <xf numFmtId="0" fontId="18" fillId="0" borderId="11" xfId="6" applyFont="1" applyBorder="1" applyAlignment="1">
      <alignment vertical="center" wrapText="1"/>
    </xf>
    <xf numFmtId="164" fontId="18" fillId="9" borderId="17" xfId="3" applyNumberFormat="1" applyFont="1" applyFill="1" applyBorder="1" applyAlignment="1">
      <alignment horizontal="left" vertical="center" wrapText="1"/>
    </xf>
    <xf numFmtId="0" fontId="18" fillId="2" borderId="11" xfId="3" applyFont="1" applyFill="1" applyBorder="1" applyAlignment="1">
      <alignment horizontal="center" vertical="center" wrapText="1"/>
    </xf>
    <xf numFmtId="164" fontId="18" fillId="9" borderId="11" xfId="3" applyNumberFormat="1" applyFont="1" applyFill="1" applyBorder="1" applyAlignment="1">
      <alignment horizontal="center" vertical="center" wrapText="1"/>
    </xf>
    <xf numFmtId="0" fontId="18" fillId="0" borderId="8" xfId="3" applyFont="1" applyBorder="1" applyAlignment="1">
      <alignment horizontal="center" vertical="center"/>
    </xf>
    <xf numFmtId="0" fontId="18" fillId="2" borderId="8" xfId="3" applyFont="1" applyFill="1" applyBorder="1" applyAlignment="1">
      <alignment horizontal="center" vertical="center" wrapText="1"/>
    </xf>
    <xf numFmtId="0" fontId="18" fillId="11" borderId="8" xfId="3" applyFont="1" applyFill="1" applyBorder="1" applyAlignment="1">
      <alignment horizontal="center" vertical="center" wrapText="1"/>
    </xf>
    <xf numFmtId="164" fontId="18" fillId="11" borderId="8" xfId="3" applyNumberFormat="1" applyFont="1" applyFill="1" applyBorder="1" applyAlignment="1">
      <alignment horizontal="center" vertical="center" wrapText="1"/>
    </xf>
    <xf numFmtId="49" fontId="15" fillId="0" borderId="17" xfId="3" applyNumberFormat="1" applyFont="1" applyBorder="1" applyAlignment="1">
      <alignment horizontal="center" vertical="center" wrapText="1"/>
    </xf>
    <xf numFmtId="0" fontId="15" fillId="0" borderId="18" xfId="3" applyFont="1" applyBorder="1" applyAlignment="1">
      <alignment vertical="center" wrapText="1"/>
    </xf>
    <xf numFmtId="164" fontId="15" fillId="9" borderId="33" xfId="3" applyNumberFormat="1" applyFont="1" applyFill="1" applyBorder="1" applyAlignment="1">
      <alignment horizontal="left" vertical="center" wrapText="1"/>
    </xf>
    <xf numFmtId="0" fontId="15" fillId="2" borderId="8" xfId="3" applyFont="1" applyFill="1" applyBorder="1" applyAlignment="1">
      <alignment horizontal="left" vertical="center" wrapText="1"/>
    </xf>
    <xf numFmtId="0" fontId="15" fillId="0" borderId="15" xfId="3" applyFont="1" applyBorder="1" applyAlignment="1">
      <alignment vertical="center" wrapText="1"/>
    </xf>
    <xf numFmtId="49" fontId="15" fillId="0" borderId="15" xfId="3" applyNumberFormat="1" applyFont="1" applyBorder="1" applyAlignment="1">
      <alignment horizontal="center" vertical="center" wrapText="1"/>
    </xf>
    <xf numFmtId="0" fontId="15" fillId="0" borderId="15" xfId="3" applyFont="1" applyBorder="1" applyAlignment="1">
      <alignment horizontal="center" vertical="center" wrapText="1"/>
    </xf>
    <xf numFmtId="49" fontId="15" fillId="0" borderId="18" xfId="3" applyNumberFormat="1" applyFont="1" applyBorder="1" applyAlignment="1">
      <alignment horizontal="center" vertical="center" wrapText="1"/>
    </xf>
    <xf numFmtId="0" fontId="15" fillId="0" borderId="18" xfId="3" applyFont="1" applyBorder="1" applyAlignment="1">
      <alignment horizontal="center" vertical="center"/>
    </xf>
    <xf numFmtId="0" fontId="15" fillId="11" borderId="19" xfId="3" applyFont="1" applyFill="1" applyBorder="1" applyAlignment="1">
      <alignment horizontal="center" vertical="center" wrapText="1"/>
    </xf>
    <xf numFmtId="49" fontId="15" fillId="0" borderId="11" xfId="3" applyNumberFormat="1" applyFont="1" applyBorder="1" applyAlignment="1">
      <alignment horizontal="center" vertical="center" wrapText="1"/>
    </xf>
    <xf numFmtId="0" fontId="15" fillId="0" borderId="11" xfId="3" applyFont="1" applyBorder="1" applyAlignment="1">
      <alignment horizontal="center" vertical="center" wrapText="1"/>
    </xf>
    <xf numFmtId="0" fontId="15" fillId="2" borderId="11" xfId="3" applyFont="1" applyFill="1" applyBorder="1" applyAlignment="1">
      <alignment horizontal="center" vertical="center"/>
    </xf>
    <xf numFmtId="0" fontId="18" fillId="2" borderId="8" xfId="3" applyFont="1" applyFill="1" applyBorder="1" applyAlignment="1">
      <alignment horizontal="right" vertical="top" wrapText="1"/>
    </xf>
    <xf numFmtId="0" fontId="15" fillId="2" borderId="19" xfId="3" applyFont="1" applyFill="1" applyBorder="1" applyAlignment="1">
      <alignment horizontal="center" vertical="center" wrapText="1"/>
    </xf>
    <xf numFmtId="164" fontId="16" fillId="0" borderId="8" xfId="3" applyNumberFormat="1" applyFont="1" applyBorder="1" applyAlignment="1">
      <alignment horizontal="center" vertical="center" wrapText="1"/>
    </xf>
    <xf numFmtId="0" fontId="16" fillId="8" borderId="8" xfId="3" applyFont="1" applyFill="1" applyBorder="1" applyAlignment="1">
      <alignment horizontal="center" vertical="center" wrapText="1"/>
    </xf>
    <xf numFmtId="49" fontId="15" fillId="0" borderId="8" xfId="3" quotePrefix="1" applyNumberFormat="1" applyFont="1" applyBorder="1" applyAlignment="1">
      <alignment horizontal="center" vertical="center" wrapText="1"/>
    </xf>
    <xf numFmtId="0" fontId="18" fillId="0" borderId="8" xfId="3" applyFont="1" applyBorder="1" applyAlignment="1">
      <alignment horizontal="left" vertical="center" wrapText="1"/>
    </xf>
    <xf numFmtId="164" fontId="15" fillId="9" borderId="11" xfId="3" applyNumberFormat="1" applyFont="1" applyFill="1" applyBorder="1" applyAlignment="1">
      <alignment horizontal="center" vertical="center" wrapText="1"/>
    </xf>
    <xf numFmtId="0" fontId="18" fillId="2" borderId="8" xfId="3" applyFont="1" applyFill="1" applyBorder="1" applyAlignment="1">
      <alignment horizontal="right" vertical="center" wrapText="1"/>
    </xf>
    <xf numFmtId="0" fontId="17" fillId="2" borderId="8" xfId="3" applyFont="1" applyFill="1" applyBorder="1" applyAlignment="1">
      <alignment horizontal="center" vertical="center" wrapText="1"/>
    </xf>
    <xf numFmtId="164" fontId="17" fillId="9" borderId="8" xfId="3" applyNumberFormat="1" applyFont="1" applyFill="1" applyBorder="1" applyAlignment="1">
      <alignment horizontal="center" vertical="center" wrapText="1"/>
    </xf>
    <xf numFmtId="0" fontId="15" fillId="2" borderId="8" xfId="3" applyFont="1" applyFill="1" applyBorder="1" applyAlignment="1">
      <alignment horizontal="right" vertical="center" wrapText="1"/>
    </xf>
    <xf numFmtId="49" fontId="15" fillId="0" borderId="13" xfId="3" applyNumberFormat="1" applyFont="1" applyBorder="1" applyAlignment="1">
      <alignment horizontal="center" vertical="center" wrapText="1"/>
    </xf>
    <xf numFmtId="0" fontId="18" fillId="2" borderId="13" xfId="3" applyFont="1" applyFill="1" applyBorder="1" applyAlignment="1">
      <alignment horizontal="right" vertical="center" wrapText="1"/>
    </xf>
    <xf numFmtId="0" fontId="15" fillId="0" borderId="13" xfId="3" applyFont="1" applyBorder="1" applyAlignment="1">
      <alignment horizontal="center" vertical="center" wrapText="1"/>
    </xf>
    <xf numFmtId="0" fontId="15" fillId="0" borderId="13" xfId="3" applyFont="1" applyBorder="1" applyAlignment="1">
      <alignment vertical="center" wrapText="1"/>
    </xf>
    <xf numFmtId="0" fontId="17" fillId="2" borderId="13" xfId="3" applyFont="1" applyFill="1" applyBorder="1" applyAlignment="1">
      <alignment horizontal="center" vertical="center" wrapText="1"/>
    </xf>
    <xf numFmtId="164" fontId="17" fillId="9" borderId="13" xfId="3" applyNumberFormat="1" applyFont="1" applyFill="1" applyBorder="1" applyAlignment="1">
      <alignment horizontal="center" vertical="center" wrapText="1"/>
    </xf>
    <xf numFmtId="0" fontId="15" fillId="0" borderId="8" xfId="3" applyFont="1" applyBorder="1" applyAlignment="1">
      <alignment horizontal="right" wrapText="1"/>
    </xf>
    <xf numFmtId="0" fontId="15" fillId="11" borderId="15" xfId="3" applyFont="1" applyFill="1" applyBorder="1" applyAlignment="1">
      <alignment horizontal="center" vertical="center" wrapText="1"/>
    </xf>
    <xf numFmtId="0" fontId="15" fillId="0" borderId="18" xfId="3" applyFont="1" applyBorder="1" applyAlignment="1">
      <alignment horizontal="right" vertical="center" wrapText="1"/>
    </xf>
    <xf numFmtId="0" fontId="15" fillId="0" borderId="18" xfId="3" applyFont="1" applyBorder="1" applyAlignment="1">
      <alignment horizontal="center" vertical="center" wrapText="1"/>
    </xf>
    <xf numFmtId="0" fontId="17" fillId="2" borderId="18" xfId="3" applyFont="1" applyFill="1" applyBorder="1" applyAlignment="1">
      <alignment horizontal="center" vertical="center" wrapText="1"/>
    </xf>
    <xf numFmtId="164" fontId="17" fillId="9" borderId="18" xfId="3" applyNumberFormat="1" applyFont="1" applyFill="1" applyBorder="1" applyAlignment="1">
      <alignment horizontal="center" vertical="center" wrapText="1"/>
    </xf>
    <xf numFmtId="0" fontId="18" fillId="0" borderId="18" xfId="3" applyFont="1" applyBorder="1" applyAlignment="1">
      <alignment horizontal="right" vertical="center" wrapText="1"/>
    </xf>
    <xf numFmtId="0" fontId="18" fillId="0" borderId="18" xfId="3" applyFont="1" applyBorder="1" applyAlignment="1">
      <alignment horizontal="center" vertical="center"/>
    </xf>
    <xf numFmtId="0" fontId="17" fillId="0" borderId="18" xfId="3" applyFont="1" applyBorder="1" applyAlignment="1">
      <alignment horizontal="center" vertical="center"/>
    </xf>
    <xf numFmtId="0" fontId="15" fillId="0" borderId="30" xfId="3" applyFont="1" applyBorder="1" applyAlignment="1">
      <alignment horizontal="center" vertical="center"/>
    </xf>
    <xf numFmtId="49" fontId="15" fillId="0" borderId="19" xfId="3" applyNumberFormat="1" applyFont="1" applyBorder="1" applyAlignment="1">
      <alignment horizontal="center" vertical="center" wrapText="1"/>
    </xf>
    <xf numFmtId="49" fontId="16" fillId="2" borderId="8" xfId="3" applyNumberFormat="1" applyFont="1" applyFill="1" applyBorder="1" applyAlignment="1">
      <alignment horizontal="center" vertical="center" wrapText="1"/>
    </xf>
    <xf numFmtId="0" fontId="16" fillId="2" borderId="8" xfId="3" applyFont="1" applyFill="1" applyBorder="1" applyAlignment="1">
      <alignment horizontal="center" vertical="center"/>
    </xf>
    <xf numFmtId="164" fontId="16" fillId="7" borderId="8" xfId="3" applyNumberFormat="1" applyFont="1" applyFill="1" applyBorder="1" applyAlignment="1">
      <alignment horizontal="center" vertical="center" wrapText="1"/>
    </xf>
    <xf numFmtId="0" fontId="27" fillId="0" borderId="8" xfId="3" applyFont="1" applyBorder="1" applyAlignment="1">
      <alignment horizontal="center" vertical="center" wrapText="1"/>
    </xf>
    <xf numFmtId="164" fontId="15" fillId="9" borderId="8" xfId="3" applyNumberFormat="1" applyFont="1" applyFill="1" applyBorder="1" applyAlignment="1">
      <alignment horizontal="center" vertical="center"/>
    </xf>
    <xf numFmtId="164" fontId="15" fillId="0" borderId="8" xfId="3" applyNumberFormat="1" applyFont="1" applyBorder="1" applyAlignment="1">
      <alignment horizontal="center" vertical="center"/>
    </xf>
    <xf numFmtId="0" fontId="15" fillId="0" borderId="8" xfId="3" applyFont="1" applyBorder="1" applyAlignment="1">
      <alignment wrapText="1"/>
    </xf>
    <xf numFmtId="0" fontId="28" fillId="0" borderId="8" xfId="3" applyFont="1" applyBorder="1" applyAlignment="1">
      <alignment vertical="center" wrapText="1"/>
    </xf>
    <xf numFmtId="0" fontId="27" fillId="2" borderId="8" xfId="3" applyFont="1" applyFill="1" applyBorder="1" applyAlignment="1">
      <alignment horizontal="center" vertical="center" wrapText="1"/>
    </xf>
    <xf numFmtId="0" fontId="16" fillId="2" borderId="8" xfId="3" applyFont="1" applyFill="1" applyBorder="1" applyAlignment="1">
      <alignment horizontal="center" vertical="center" wrapText="1"/>
    </xf>
    <xf numFmtId="49" fontId="27" fillId="0" borderId="8" xfId="3" applyNumberFormat="1" applyFont="1" applyBorder="1" applyAlignment="1">
      <alignment horizontal="center" vertical="center"/>
    </xf>
    <xf numFmtId="0" fontId="15" fillId="0" borderId="8" xfId="3" applyFont="1" applyBorder="1"/>
    <xf numFmtId="0" fontId="15" fillId="0" borderId="15" xfId="3" applyFont="1" applyBorder="1" applyAlignment="1">
      <alignment horizontal="center" vertical="center"/>
    </xf>
    <xf numFmtId="0" fontId="15" fillId="0" borderId="17" xfId="3" applyFont="1" applyBorder="1" applyAlignment="1">
      <alignment horizontal="center" vertical="center"/>
    </xf>
    <xf numFmtId="0" fontId="15" fillId="0" borderId="19" xfId="3" applyFont="1" applyBorder="1" applyAlignment="1">
      <alignment horizontal="center" vertical="center"/>
    </xf>
    <xf numFmtId="0" fontId="15" fillId="0" borderId="35" xfId="3" applyFont="1" applyBorder="1" applyAlignment="1">
      <alignment horizontal="center" vertical="center"/>
    </xf>
    <xf numFmtId="0" fontId="15" fillId="0" borderId="17" xfId="3" applyFont="1" applyBorder="1" applyAlignment="1">
      <alignment vertical="center" wrapText="1"/>
    </xf>
    <xf numFmtId="0" fontId="15" fillId="0" borderId="38" xfId="3" applyFont="1" applyBorder="1" applyAlignment="1">
      <alignment horizontal="center" vertical="center"/>
    </xf>
    <xf numFmtId="0" fontId="15" fillId="0" borderId="32" xfId="3" applyFont="1" applyBorder="1" applyAlignment="1">
      <alignment horizontal="center" vertical="center"/>
    </xf>
    <xf numFmtId="49" fontId="15" fillId="9" borderId="8" xfId="3" applyNumberFormat="1" applyFont="1" applyFill="1" applyBorder="1" applyAlignment="1">
      <alignment horizontal="center" vertical="center"/>
    </xf>
    <xf numFmtId="0" fontId="15" fillId="9" borderId="8" xfId="3" applyFont="1" applyFill="1" applyBorder="1"/>
    <xf numFmtId="0" fontId="15" fillId="9" borderId="11" xfId="3" applyFont="1" applyFill="1" applyBorder="1" applyAlignment="1">
      <alignment horizontal="center" vertical="center"/>
    </xf>
    <xf numFmtId="0" fontId="15" fillId="9" borderId="11" xfId="3" applyFont="1" applyFill="1" applyBorder="1" applyAlignment="1">
      <alignment horizontal="center" vertical="center" wrapText="1"/>
    </xf>
    <xf numFmtId="0" fontId="27" fillId="9" borderId="8" xfId="3" applyFont="1" applyFill="1" applyBorder="1" applyAlignment="1">
      <alignment horizontal="center" vertical="center" wrapText="1"/>
    </xf>
    <xf numFmtId="164" fontId="16" fillId="9" borderId="8" xfId="3" applyNumberFormat="1" applyFont="1" applyFill="1" applyBorder="1" applyAlignment="1">
      <alignment horizontal="center" vertical="center"/>
    </xf>
    <xf numFmtId="0" fontId="15" fillId="0" borderId="8" xfId="3" applyFont="1" applyBorder="1" applyAlignment="1">
      <alignment vertical="center"/>
    </xf>
    <xf numFmtId="49" fontId="15" fillId="2" borderId="8" xfId="3" applyNumberFormat="1" applyFont="1" applyFill="1" applyBorder="1" applyAlignment="1">
      <alignment horizontal="center" vertical="center"/>
    </xf>
    <xf numFmtId="164" fontId="15" fillId="12" borderId="8" xfId="9" applyNumberFormat="1" applyFont="1" applyFill="1" applyBorder="1" applyAlignment="1">
      <alignment horizontal="center" vertical="center"/>
    </xf>
    <xf numFmtId="164" fontId="15" fillId="0" borderId="8" xfId="9" applyNumberFormat="1" applyFont="1" applyBorder="1" applyAlignment="1">
      <alignment horizontal="center" vertical="center" wrapText="1"/>
    </xf>
    <xf numFmtId="164" fontId="15" fillId="2" borderId="8" xfId="9" applyNumberFormat="1" applyFont="1" applyFill="1" applyBorder="1" applyAlignment="1">
      <alignment horizontal="center" vertical="center"/>
    </xf>
    <xf numFmtId="49" fontId="27" fillId="2" borderId="8" xfId="3" applyNumberFormat="1" applyFont="1" applyFill="1" applyBorder="1" applyAlignment="1">
      <alignment horizontal="center" vertical="center"/>
    </xf>
    <xf numFmtId="0" fontId="15" fillId="0" borderId="8" xfId="11" applyFont="1" applyBorder="1" applyAlignment="1">
      <alignment horizontal="center" vertical="center"/>
    </xf>
    <xf numFmtId="14" fontId="15" fillId="0" borderId="8" xfId="3" quotePrefix="1" applyNumberFormat="1" applyFont="1" applyBorder="1" applyAlignment="1">
      <alignment horizontal="center" vertical="center" wrapText="1"/>
    </xf>
    <xf numFmtId="49" fontId="15" fillId="0" borderId="8" xfId="11" applyNumberFormat="1" applyFont="1" applyBorder="1" applyAlignment="1">
      <alignment horizontal="center" vertical="center"/>
    </xf>
    <xf numFmtId="0" fontId="15" fillId="0" borderId="8" xfId="11" applyFont="1" applyBorder="1" applyAlignment="1">
      <alignment vertical="center" wrapText="1"/>
    </xf>
    <xf numFmtId="0" fontId="15" fillId="0" borderId="8" xfId="11" applyFont="1" applyBorder="1" applyAlignment="1">
      <alignment horizontal="center"/>
    </xf>
    <xf numFmtId="164" fontId="27" fillId="0" borderId="8" xfId="11" applyNumberFormat="1" applyFont="1" applyBorder="1" applyAlignment="1">
      <alignment horizontal="center" vertical="center"/>
    </xf>
    <xf numFmtId="49" fontId="15" fillId="0" borderId="8" xfId="11" applyNumberFormat="1" applyFont="1" applyBorder="1" applyAlignment="1">
      <alignment horizontal="center" vertical="center" wrapText="1"/>
    </xf>
    <xf numFmtId="0" fontId="15" fillId="0" borderId="8" xfId="11" applyFont="1" applyBorder="1" applyAlignment="1">
      <alignment horizontal="center" wrapText="1"/>
    </xf>
    <xf numFmtId="0" fontId="15" fillId="0" borderId="8" xfId="11" applyFont="1" applyBorder="1" applyAlignment="1">
      <alignment horizontal="center" vertical="center" wrapText="1"/>
    </xf>
    <xf numFmtId="164" fontId="27" fillId="9" borderId="8" xfId="11" applyNumberFormat="1" applyFont="1" applyFill="1" applyBorder="1" applyAlignment="1">
      <alignment horizontal="center" vertical="center"/>
    </xf>
    <xf numFmtId="0" fontId="15" fillId="2" borderId="8" xfId="11" applyFont="1" applyFill="1" applyBorder="1" applyAlignment="1">
      <alignment horizontal="center" vertical="center"/>
    </xf>
    <xf numFmtId="0" fontId="20" fillId="0" borderId="8" xfId="11" applyFont="1" applyBorder="1" applyAlignment="1">
      <alignment vertical="center" wrapText="1"/>
    </xf>
    <xf numFmtId="0" fontId="15" fillId="2" borderId="8" xfId="11" applyFont="1" applyFill="1" applyBorder="1" applyAlignment="1">
      <alignment horizontal="center" vertical="center" wrapText="1"/>
    </xf>
    <xf numFmtId="0" fontId="15" fillId="0" borderId="11" xfId="3" applyFont="1" applyBorder="1"/>
    <xf numFmtId="0" fontId="15" fillId="0" borderId="34" xfId="3" applyFont="1" applyBorder="1" applyAlignment="1">
      <alignment wrapText="1"/>
    </xf>
    <xf numFmtId="0" fontId="15" fillId="14" borderId="34" xfId="3" applyFont="1" applyFill="1" applyBorder="1"/>
    <xf numFmtId="0" fontId="15" fillId="0" borderId="34" xfId="3" applyFont="1" applyBorder="1"/>
    <xf numFmtId="0" fontId="15" fillId="2" borderId="8" xfId="11" applyFont="1" applyFill="1" applyBorder="1" applyAlignment="1">
      <alignment vertical="center" wrapText="1"/>
    </xf>
    <xf numFmtId="0" fontId="21" fillId="2" borderId="8" xfId="11" applyFont="1" applyFill="1" applyBorder="1" applyAlignment="1">
      <alignment vertical="center" wrapText="1"/>
    </xf>
    <xf numFmtId="164" fontId="16" fillId="2" borderId="8" xfId="3" applyNumberFormat="1" applyFont="1" applyFill="1" applyBorder="1" applyAlignment="1">
      <alignment horizontal="center" vertical="center"/>
    </xf>
    <xf numFmtId="164" fontId="30" fillId="9" borderId="8" xfId="11" applyNumberFormat="1" applyFont="1" applyFill="1" applyBorder="1" applyAlignment="1">
      <alignment horizontal="center" vertical="center"/>
    </xf>
    <xf numFmtId="49" fontId="15" fillId="0" borderId="8" xfId="11" applyNumberFormat="1" applyFont="1" applyBorder="1" applyAlignment="1">
      <alignment horizontal="center" vertical="center" shrinkToFit="1"/>
    </xf>
    <xf numFmtId="0" fontId="18" fillId="0" borderId="8" xfId="11" applyFont="1" applyBorder="1" applyAlignment="1">
      <alignment vertical="center" wrapText="1"/>
    </xf>
    <xf numFmtId="0" fontId="12" fillId="0" borderId="8" xfId="3" applyBorder="1"/>
    <xf numFmtId="49" fontId="15" fillId="0" borderId="17" xfId="11" applyNumberFormat="1" applyFont="1" applyBorder="1" applyAlignment="1">
      <alignment horizontal="center" vertical="center"/>
    </xf>
    <xf numFmtId="0" fontId="15" fillId="0" borderId="8" xfId="11" applyFont="1" applyBorder="1" applyAlignment="1">
      <alignment horizontal="right" vertical="center" wrapText="1"/>
    </xf>
    <xf numFmtId="49" fontId="15" fillId="2" borderId="19" xfId="11" applyNumberFormat="1" applyFont="1" applyFill="1" applyBorder="1" applyAlignment="1">
      <alignment horizontal="center" vertical="center"/>
    </xf>
    <xf numFmtId="0" fontId="12" fillId="0" borderId="8" xfId="3" applyBorder="1" applyAlignment="1">
      <alignment horizontal="right"/>
    </xf>
    <xf numFmtId="0" fontId="15" fillId="0" borderId="0" xfId="3" applyFont="1" applyAlignment="1">
      <alignment horizontal="center" vertical="center"/>
    </xf>
    <xf numFmtId="0" fontId="15" fillId="0" borderId="11" xfId="11" applyFont="1" applyBorder="1" applyAlignment="1">
      <alignment vertical="center" wrapText="1"/>
    </xf>
    <xf numFmtId="0" fontId="15" fillId="0" borderId="8" xfId="11" applyFont="1" applyBorder="1" applyAlignment="1">
      <alignment horizontal="left" vertical="center" wrapText="1"/>
    </xf>
    <xf numFmtId="49" fontId="15" fillId="2" borderId="8" xfId="11" applyNumberFormat="1" applyFont="1" applyFill="1" applyBorder="1" applyAlignment="1">
      <alignment horizontal="center" vertical="center"/>
    </xf>
    <xf numFmtId="164" fontId="15" fillId="9" borderId="8" xfId="11" applyNumberFormat="1" applyFont="1" applyFill="1" applyBorder="1" applyAlignment="1">
      <alignment horizontal="center" vertical="center"/>
    </xf>
    <xf numFmtId="0" fontId="15" fillId="0" borderId="17" xfId="11" applyFont="1" applyBorder="1" applyAlignment="1">
      <alignment horizontal="center" vertical="center" wrapText="1"/>
    </xf>
    <xf numFmtId="0" fontId="15" fillId="0" borderId="0" xfId="3" applyFont="1" applyAlignment="1">
      <alignment wrapText="1"/>
    </xf>
    <xf numFmtId="0" fontId="15" fillId="11" borderId="37" xfId="3" applyFont="1" applyFill="1" applyBorder="1" applyAlignment="1">
      <alignment horizontal="center" vertical="center" wrapText="1"/>
    </xf>
    <xf numFmtId="164" fontId="15" fillId="11" borderId="37" xfId="3" applyNumberFormat="1" applyFont="1" applyFill="1" applyBorder="1" applyAlignment="1">
      <alignment horizontal="center" vertical="center" wrapText="1"/>
    </xf>
    <xf numFmtId="0" fontId="15" fillId="2" borderId="0" xfId="3" applyFont="1" applyFill="1" applyAlignment="1">
      <alignment wrapText="1"/>
    </xf>
    <xf numFmtId="0" fontId="15" fillId="0" borderId="37" xfId="3" applyFont="1" applyBorder="1" applyAlignment="1">
      <alignment horizontal="center" vertical="center"/>
    </xf>
    <xf numFmtId="0" fontId="15" fillId="11" borderId="18" xfId="3" applyFont="1" applyFill="1" applyBorder="1" applyAlignment="1">
      <alignment horizontal="center" vertical="center" wrapText="1"/>
    </xf>
    <xf numFmtId="164" fontId="16" fillId="18" borderId="11" xfId="3" applyNumberFormat="1" applyFont="1" applyFill="1" applyBorder="1" applyAlignment="1">
      <alignment horizontal="center" vertical="center" wrapText="1"/>
    </xf>
    <xf numFmtId="0" fontId="15" fillId="0" borderId="8" xfId="3" applyFont="1" applyBorder="1" applyAlignment="1">
      <alignment horizontal="center" wrapText="1"/>
    </xf>
    <xf numFmtId="0" fontId="15" fillId="0" borderId="11" xfId="3" applyFont="1" applyBorder="1" applyAlignment="1">
      <alignment horizontal="center" wrapText="1"/>
    </xf>
    <xf numFmtId="49" fontId="15" fillId="5" borderId="11" xfId="3" applyNumberFormat="1" applyFont="1" applyFill="1" applyBorder="1" applyAlignment="1">
      <alignment horizontal="center" vertical="center" textRotation="90" wrapText="1"/>
    </xf>
    <xf numFmtId="49" fontId="15" fillId="7" borderId="8" xfId="3" applyNumberFormat="1" applyFont="1" applyFill="1" applyBorder="1" applyAlignment="1">
      <alignment horizontal="center" vertical="center" wrapText="1"/>
    </xf>
    <xf numFmtId="0" fontId="15" fillId="7" borderId="8" xfId="3" applyFont="1" applyFill="1" applyBorder="1" applyAlignment="1">
      <alignment vertical="center" wrapText="1"/>
    </xf>
    <xf numFmtId="0" fontId="15" fillId="12" borderId="8" xfId="3" applyFont="1" applyFill="1" applyBorder="1" applyAlignment="1">
      <alignment horizontal="center" vertical="center" wrapText="1"/>
    </xf>
    <xf numFmtId="49" fontId="15" fillId="5" borderId="8" xfId="3" applyNumberFormat="1" applyFont="1" applyFill="1" applyBorder="1" applyAlignment="1">
      <alignment horizontal="center" vertical="center" textRotation="90" wrapText="1"/>
    </xf>
    <xf numFmtId="0" fontId="18" fillId="2" borderId="8" xfId="3" applyFont="1" applyFill="1" applyBorder="1" applyAlignment="1">
      <alignment vertical="center" wrapText="1"/>
    </xf>
    <xf numFmtId="0" fontId="15" fillId="0" borderId="8" xfId="3" applyFont="1" applyBorder="1" applyAlignment="1">
      <alignment vertical="top" wrapText="1"/>
    </xf>
    <xf numFmtId="164" fontId="15" fillId="2" borderId="8" xfId="10" applyNumberFormat="1" applyFont="1" applyFill="1" applyBorder="1" applyAlignment="1">
      <alignment horizontal="center" vertical="center" wrapText="1"/>
    </xf>
    <xf numFmtId="164" fontId="15" fillId="0" borderId="8" xfId="10" applyNumberFormat="1" applyFont="1" applyBorder="1" applyAlignment="1">
      <alignment horizontal="center" vertical="center" wrapText="1"/>
    </xf>
    <xf numFmtId="0" fontId="15" fillId="2" borderId="15" xfId="3" applyFont="1" applyFill="1" applyBorder="1" applyAlignment="1">
      <alignment horizontal="center" wrapText="1"/>
    </xf>
    <xf numFmtId="164" fontId="15" fillId="0" borderId="8" xfId="3" applyNumberFormat="1" applyFont="1" applyBorder="1"/>
    <xf numFmtId="0" fontId="15" fillId="0" borderId="11" xfId="3" applyFont="1" applyBorder="1" applyAlignment="1">
      <alignment vertical="center" wrapText="1"/>
    </xf>
    <xf numFmtId="1" fontId="15" fillId="0" borderId="11" xfId="3" applyNumberFormat="1" applyFont="1" applyBorder="1" applyAlignment="1">
      <alignment horizontal="center" vertical="center" wrapText="1"/>
    </xf>
    <xf numFmtId="0" fontId="15" fillId="0" borderId="17" xfId="3" applyFont="1" applyBorder="1" applyAlignment="1">
      <alignment horizontal="center" vertical="center" wrapText="1"/>
    </xf>
    <xf numFmtId="1" fontId="15" fillId="0" borderId="8" xfId="10" applyNumberFormat="1" applyFont="1" applyBorder="1" applyAlignment="1">
      <alignment horizontal="center" vertical="center" wrapText="1"/>
    </xf>
    <xf numFmtId="49" fontId="12" fillId="5" borderId="8" xfId="0" applyNumberFormat="1" applyFont="1" applyFill="1" applyBorder="1" applyAlignment="1">
      <alignment horizontal="center" vertical="center" textRotation="90" wrapText="1"/>
    </xf>
    <xf numFmtId="0" fontId="15" fillId="5" borderId="8" xfId="0" applyFont="1" applyFill="1" applyBorder="1" applyAlignment="1">
      <alignment horizontal="left" vertical="center" wrapText="1"/>
    </xf>
    <xf numFmtId="0" fontId="12" fillId="5" borderId="8" xfId="14" applyFont="1" applyFill="1" applyBorder="1" applyAlignment="1">
      <alignment horizontal="center"/>
    </xf>
    <xf numFmtId="0" fontId="12" fillId="5" borderId="8" xfId="0" applyFont="1" applyFill="1" applyBorder="1" applyAlignment="1">
      <alignment horizontal="center" textRotation="90" wrapText="1"/>
    </xf>
    <xf numFmtId="3" fontId="12" fillId="5" borderId="8" xfId="0" applyNumberFormat="1" applyFont="1" applyFill="1" applyBorder="1" applyAlignment="1">
      <alignment horizontal="center" vertical="center" textRotation="90" wrapText="1"/>
    </xf>
    <xf numFmtId="3" fontId="12" fillId="5" borderId="8" xfId="0" applyNumberFormat="1" applyFont="1" applyFill="1" applyBorder="1" applyAlignment="1">
      <alignment horizontal="center" vertical="center" wrapText="1"/>
    </xf>
    <xf numFmtId="0" fontId="12" fillId="0" borderId="8" xfId="0" applyFont="1" applyBorder="1"/>
    <xf numFmtId="49" fontId="15" fillId="15" borderId="8" xfId="0" quotePrefix="1" applyNumberFormat="1" applyFont="1" applyFill="1" applyBorder="1" applyAlignment="1">
      <alignment horizontal="left" vertical="center" wrapText="1"/>
    </xf>
    <xf numFmtId="49" fontId="15" fillId="15" borderId="8" xfId="0" applyNumberFormat="1" applyFont="1" applyFill="1" applyBorder="1" applyAlignment="1">
      <alignment horizontal="center" vertical="center" wrapText="1"/>
    </xf>
    <xf numFmtId="49" fontId="15" fillId="0" borderId="8" xfId="10" applyNumberFormat="1" applyFont="1" applyBorder="1" applyAlignment="1">
      <alignment horizontal="center" vertical="center" wrapText="1"/>
    </xf>
    <xf numFmtId="164" fontId="15" fillId="0" borderId="8" xfId="10" applyNumberFormat="1" applyFont="1" applyBorder="1" applyAlignment="1">
      <alignment horizontal="left" vertical="center" wrapText="1"/>
    </xf>
    <xf numFmtId="164" fontId="15" fillId="0" borderId="8" xfId="10" applyNumberFormat="1" applyFont="1" applyBorder="1" applyAlignment="1">
      <alignment horizontal="center" wrapText="1"/>
    </xf>
    <xf numFmtId="164" fontId="16" fillId="11" borderId="8" xfId="10" applyNumberFormat="1" applyFont="1" applyFill="1" applyBorder="1" applyAlignment="1">
      <alignment horizontal="center" vertical="center" wrapText="1"/>
    </xf>
    <xf numFmtId="164" fontId="16" fillId="22" borderId="8" xfId="10" applyNumberFormat="1" applyFont="1" applyFill="1" applyBorder="1" applyAlignment="1">
      <alignment horizontal="center" vertical="center" wrapText="1"/>
    </xf>
    <xf numFmtId="1" fontId="15" fillId="0" borderId="8" xfId="10" applyNumberFormat="1" applyFont="1" applyBorder="1" applyAlignment="1">
      <alignment horizontal="center" wrapText="1"/>
    </xf>
    <xf numFmtId="164" fontId="15" fillId="9" borderId="8" xfId="10" applyNumberFormat="1" applyFont="1" applyFill="1" applyBorder="1" applyAlignment="1">
      <alignment horizontal="center" vertical="center" wrapText="1"/>
    </xf>
    <xf numFmtId="164" fontId="15" fillId="11" borderId="8" xfId="0" applyNumberFormat="1" applyFont="1" applyFill="1" applyBorder="1" applyAlignment="1">
      <alignment horizontal="center" vertical="center" wrapText="1"/>
    </xf>
    <xf numFmtId="49" fontId="15" fillId="0" borderId="8" xfId="10" applyNumberFormat="1" applyFont="1" applyBorder="1" applyAlignment="1">
      <alignment horizontal="center" vertical="center"/>
    </xf>
    <xf numFmtId="0" fontId="15" fillId="0" borderId="0" xfId="0" applyFont="1" applyAlignment="1">
      <alignment vertical="top" wrapText="1"/>
    </xf>
    <xf numFmtId="164" fontId="16" fillId="9" borderId="8" xfId="10" applyNumberFormat="1" applyFont="1" applyFill="1" applyBorder="1" applyAlignment="1">
      <alignment horizontal="center" vertical="center" wrapText="1"/>
    </xf>
    <xf numFmtId="1" fontId="12" fillId="5" borderId="8" xfId="10" applyNumberFormat="1" applyFont="1" applyFill="1" applyBorder="1" applyAlignment="1">
      <alignment horizontal="center" wrapText="1"/>
    </xf>
    <xf numFmtId="164" fontId="12" fillId="5" borderId="8" xfId="10" applyNumberFormat="1" applyFont="1" applyFill="1" applyBorder="1" applyAlignment="1">
      <alignment horizontal="center" wrapText="1"/>
    </xf>
    <xf numFmtId="164" fontId="12" fillId="5" borderId="8" xfId="10" applyNumberFormat="1" applyFont="1" applyFill="1" applyBorder="1" applyAlignment="1">
      <alignment horizontal="center" vertical="center" wrapText="1"/>
    </xf>
    <xf numFmtId="164" fontId="12" fillId="5" borderId="8" xfId="10" applyNumberFormat="1" applyFont="1" applyFill="1" applyBorder="1" applyAlignment="1">
      <alignment horizontal="center" vertical="center"/>
    </xf>
    <xf numFmtId="164" fontId="15" fillId="15" borderId="8" xfId="0" applyNumberFormat="1" applyFont="1" applyFill="1" applyBorder="1" applyAlignment="1">
      <alignment horizontal="center" vertical="center" wrapText="1"/>
    </xf>
    <xf numFmtId="164" fontId="15" fillId="0" borderId="15" xfId="10" applyNumberFormat="1" applyFont="1" applyBorder="1" applyAlignment="1">
      <alignment horizontal="left" vertical="center" wrapText="1"/>
    </xf>
    <xf numFmtId="164" fontId="15" fillId="2" borderId="18" xfId="10" applyNumberFormat="1" applyFont="1" applyFill="1" applyBorder="1" applyAlignment="1">
      <alignment horizontal="left" vertical="center" wrapText="1"/>
    </xf>
    <xf numFmtId="164" fontId="15" fillId="0" borderId="8" xfId="0" applyNumberFormat="1" applyFont="1" applyBorder="1" applyAlignment="1">
      <alignment horizontal="center" vertical="center"/>
    </xf>
    <xf numFmtId="164" fontId="15" fillId="16" borderId="8" xfId="10" applyNumberFormat="1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/>
    </xf>
    <xf numFmtId="164" fontId="18" fillId="16" borderId="8" xfId="0" applyNumberFormat="1" applyFont="1" applyFill="1" applyBorder="1" applyAlignment="1">
      <alignment horizontal="center" vertical="center"/>
    </xf>
    <xf numFmtId="49" fontId="15" fillId="2" borderId="8" xfId="1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0" fontId="15" fillId="14" borderId="8" xfId="0" applyFont="1" applyFill="1" applyBorder="1"/>
    <xf numFmtId="1" fontId="15" fillId="2" borderId="8" xfId="10" applyNumberFormat="1" applyFont="1" applyFill="1" applyBorder="1" applyAlignment="1">
      <alignment horizontal="center" wrapText="1"/>
    </xf>
    <xf numFmtId="49" fontId="15" fillId="0" borderId="15" xfId="10" applyNumberFormat="1" applyFont="1" applyBorder="1" applyAlignment="1">
      <alignment horizontal="center" vertical="center" wrapText="1"/>
    </xf>
    <xf numFmtId="0" fontId="18" fillId="0" borderId="15" xfId="0" applyFont="1" applyBorder="1" applyAlignment="1">
      <alignment horizontal="left" vertical="center"/>
    </xf>
    <xf numFmtId="1" fontId="15" fillId="0" borderId="15" xfId="10" applyNumberFormat="1" applyFont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/>
    </xf>
    <xf numFmtId="164" fontId="15" fillId="0" borderId="15" xfId="0" applyNumberFormat="1" applyFont="1" applyBorder="1" applyAlignment="1">
      <alignment horizontal="center" vertical="center"/>
    </xf>
    <xf numFmtId="49" fontId="15" fillId="0" borderId="18" xfId="10" applyNumberFormat="1" applyFont="1" applyBorder="1" applyAlignment="1">
      <alignment horizontal="center" vertical="center" wrapText="1"/>
    </xf>
    <xf numFmtId="0" fontId="18" fillId="0" borderId="18" xfId="0" applyFont="1" applyBorder="1" applyAlignment="1">
      <alignment horizontal="left" vertical="center"/>
    </xf>
    <xf numFmtId="1" fontId="15" fillId="0" borderId="18" xfId="10" applyNumberFormat="1" applyFont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/>
    </xf>
    <xf numFmtId="164" fontId="15" fillId="0" borderId="18" xfId="0" applyNumberFormat="1" applyFont="1" applyBorder="1" applyAlignment="1">
      <alignment horizontal="center" vertical="center"/>
    </xf>
    <xf numFmtId="164" fontId="15" fillId="16" borderId="18" xfId="0" applyNumberFormat="1" applyFont="1" applyFill="1" applyBorder="1" applyAlignment="1">
      <alignment horizontal="center" vertical="center"/>
    </xf>
    <xf numFmtId="164" fontId="15" fillId="0" borderId="18" xfId="10" applyNumberFormat="1" applyFont="1" applyBorder="1" applyAlignment="1">
      <alignment horizontal="center" vertical="center" wrapText="1"/>
    </xf>
    <xf numFmtId="164" fontId="15" fillId="0" borderId="18" xfId="10" applyNumberFormat="1" applyFont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 wrapText="1"/>
    </xf>
    <xf numFmtId="164" fontId="15" fillId="0" borderId="15" xfId="0" applyNumberFormat="1" applyFont="1" applyBorder="1" applyAlignment="1">
      <alignment horizontal="center" vertical="center" wrapText="1"/>
    </xf>
    <xf numFmtId="164" fontId="15" fillId="16" borderId="15" xfId="0" applyNumberFormat="1" applyFont="1" applyFill="1" applyBorder="1" applyAlignment="1">
      <alignment horizontal="center" vertical="center"/>
    </xf>
    <xf numFmtId="0" fontId="18" fillId="0" borderId="18" xfId="0" applyFont="1" applyBorder="1" applyAlignment="1">
      <alignment horizontal="left" vertical="center" wrapText="1"/>
    </xf>
    <xf numFmtId="164" fontId="15" fillId="0" borderId="18" xfId="0" applyNumberFormat="1" applyFont="1" applyBorder="1" applyAlignment="1">
      <alignment horizontal="center" vertical="center" wrapText="1"/>
    </xf>
    <xf numFmtId="164" fontId="15" fillId="16" borderId="18" xfId="3" applyNumberFormat="1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/>
    </xf>
    <xf numFmtId="1" fontId="15" fillId="0" borderId="30" xfId="10" applyNumberFormat="1" applyFont="1" applyBorder="1" applyAlignment="1">
      <alignment horizontal="center" vertical="center" wrapText="1"/>
    </xf>
    <xf numFmtId="164" fontId="15" fillId="0" borderId="30" xfId="10" applyNumberFormat="1" applyFont="1" applyBorder="1" applyAlignment="1">
      <alignment horizontal="center" vertical="center"/>
    </xf>
    <xf numFmtId="1" fontId="15" fillId="0" borderId="18" xfId="10" applyNumberFormat="1" applyFont="1" applyBorder="1" applyAlignment="1">
      <alignment horizontal="center" wrapText="1"/>
    </xf>
    <xf numFmtId="164" fontId="15" fillId="2" borderId="18" xfId="10" applyNumberFormat="1" applyFont="1" applyFill="1" applyBorder="1" applyAlignment="1">
      <alignment horizontal="center" vertical="center"/>
    </xf>
    <xf numFmtId="49" fontId="15" fillId="0" borderId="33" xfId="10" applyNumberFormat="1" applyFont="1" applyBorder="1" applyAlignment="1">
      <alignment horizontal="center" vertical="center" wrapText="1"/>
    </xf>
    <xf numFmtId="49" fontId="15" fillId="0" borderId="17" xfId="10" applyNumberFormat="1" applyFont="1" applyBorder="1" applyAlignment="1">
      <alignment horizontal="center" vertical="center" wrapText="1"/>
    </xf>
    <xf numFmtId="0" fontId="18" fillId="0" borderId="30" xfId="0" applyFont="1" applyBorder="1" applyAlignment="1">
      <alignment wrapText="1"/>
    </xf>
    <xf numFmtId="1" fontId="15" fillId="0" borderId="34" xfId="10" applyNumberFormat="1" applyFont="1" applyBorder="1" applyAlignment="1">
      <alignment horizontal="center" vertical="center" wrapText="1"/>
    </xf>
    <xf numFmtId="0" fontId="15" fillId="0" borderId="11" xfId="12" applyFont="1" applyBorder="1" applyAlignment="1">
      <alignment horizontal="center" vertical="center"/>
    </xf>
    <xf numFmtId="164" fontId="15" fillId="0" borderId="11" xfId="0" applyNumberFormat="1" applyFont="1" applyBorder="1" applyAlignment="1">
      <alignment horizontal="center" vertical="center"/>
    </xf>
    <xf numFmtId="164" fontId="15" fillId="16" borderId="8" xfId="0" applyNumberFormat="1" applyFont="1" applyFill="1" applyBorder="1" applyAlignment="1">
      <alignment horizontal="center" vertical="center"/>
    </xf>
    <xf numFmtId="49" fontId="18" fillId="0" borderId="18" xfId="10" applyNumberFormat="1" applyFont="1" applyBorder="1" applyAlignment="1">
      <alignment horizontal="center" vertical="center" wrapText="1"/>
    </xf>
    <xf numFmtId="164" fontId="15" fillId="2" borderId="8" xfId="10" applyNumberFormat="1" applyFont="1" applyFill="1" applyBorder="1" applyAlignment="1">
      <alignment horizontal="center" wrapText="1"/>
    </xf>
    <xf numFmtId="49" fontId="15" fillId="0" borderId="37" xfId="10" applyNumberFormat="1" applyFont="1" applyBorder="1" applyAlignment="1">
      <alignment horizontal="center" vertical="center" wrapText="1"/>
    </xf>
    <xf numFmtId="0" fontId="15" fillId="0" borderId="19" xfId="0" applyFont="1" applyBorder="1" applyAlignment="1">
      <alignment vertical="center" wrapText="1"/>
    </xf>
    <xf numFmtId="49" fontId="15" fillId="0" borderId="11" xfId="10" applyNumberFormat="1" applyFont="1" applyBorder="1" applyAlignment="1">
      <alignment horizontal="center" vertical="center" wrapText="1"/>
    </xf>
    <xf numFmtId="164" fontId="15" fillId="0" borderId="8" xfId="10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center" vertical="center" wrapText="1"/>
    </xf>
    <xf numFmtId="0" fontId="15" fillId="0" borderId="15" xfId="0" applyFont="1" applyBorder="1" applyAlignment="1">
      <alignment horizontal="right" vertical="center" wrapText="1"/>
    </xf>
    <xf numFmtId="164" fontId="15" fillId="9" borderId="15" xfId="3" applyNumberFormat="1" applyFont="1" applyFill="1" applyBorder="1" applyAlignment="1">
      <alignment horizontal="center" vertical="center" wrapText="1"/>
    </xf>
    <xf numFmtId="164" fontId="15" fillId="0" borderId="15" xfId="10" applyNumberFormat="1" applyFont="1" applyBorder="1" applyAlignment="1">
      <alignment horizontal="center" vertical="center" wrapText="1"/>
    </xf>
    <xf numFmtId="164" fontId="17" fillId="9" borderId="15" xfId="3" applyNumberFormat="1" applyFont="1" applyFill="1" applyBorder="1" applyAlignment="1">
      <alignment horizontal="center" vertical="center" wrapText="1"/>
    </xf>
    <xf numFmtId="0" fontId="15" fillId="0" borderId="37" xfId="0" applyFont="1" applyBorder="1" applyAlignment="1">
      <alignment horizontal="right" vertical="center" wrapText="1"/>
    </xf>
    <xf numFmtId="1" fontId="15" fillId="0" borderId="37" xfId="10" applyNumberFormat="1" applyFont="1" applyBorder="1" applyAlignment="1">
      <alignment horizontal="center" vertical="center" wrapText="1"/>
    </xf>
    <xf numFmtId="164" fontId="15" fillId="0" borderId="37" xfId="10" applyNumberFormat="1" applyFont="1" applyBorder="1" applyAlignment="1">
      <alignment horizontal="center" vertical="center" wrapText="1"/>
    </xf>
    <xf numFmtId="164" fontId="15" fillId="0" borderId="37" xfId="0" applyNumberFormat="1" applyFont="1" applyBorder="1" applyAlignment="1">
      <alignment horizontal="center" vertical="center" wrapText="1"/>
    </xf>
    <xf numFmtId="164" fontId="15" fillId="9" borderId="37" xfId="3" applyNumberFormat="1" applyFont="1" applyFill="1" applyBorder="1" applyAlignment="1">
      <alignment horizontal="center" vertical="center" wrapText="1"/>
    </xf>
    <xf numFmtId="164" fontId="15" fillId="2" borderId="8" xfId="0" applyNumberFormat="1" applyFont="1" applyFill="1" applyBorder="1" applyAlignment="1">
      <alignment horizontal="center" vertical="center" wrapText="1"/>
    </xf>
    <xf numFmtId="164" fontId="15" fillId="24" borderId="8" xfId="0" applyNumberFormat="1" applyFont="1" applyFill="1" applyBorder="1" applyAlignment="1">
      <alignment horizontal="center" vertical="center"/>
    </xf>
    <xf numFmtId="0" fontId="15" fillId="20" borderId="8" xfId="0" applyFont="1" applyFill="1" applyBorder="1" applyAlignment="1">
      <alignment vertical="center" wrapText="1"/>
    </xf>
    <xf numFmtId="0" fontId="15" fillId="20" borderId="11" xfId="0" applyFont="1" applyFill="1" applyBorder="1" applyAlignment="1">
      <alignment vertical="center" wrapText="1"/>
    </xf>
    <xf numFmtId="164" fontId="15" fillId="0" borderId="11" xfId="10" applyNumberFormat="1" applyFont="1" applyBorder="1" applyAlignment="1">
      <alignment horizontal="center" vertical="center" wrapText="1"/>
    </xf>
    <xf numFmtId="49" fontId="15" fillId="2" borderId="11" xfId="0" quotePrefix="1" applyNumberFormat="1" applyFont="1" applyFill="1" applyBorder="1" applyAlignment="1">
      <alignment horizontal="center" vertical="center" wrapText="1"/>
    </xf>
    <xf numFmtId="49" fontId="16" fillId="2" borderId="11" xfId="0" quotePrefix="1" applyNumberFormat="1" applyFont="1" applyFill="1" applyBorder="1" applyAlignment="1">
      <alignment horizontal="left" vertical="center" wrapText="1"/>
    </xf>
    <xf numFmtId="1" fontId="15" fillId="2" borderId="11" xfId="10" applyNumberFormat="1" applyFont="1" applyFill="1" applyBorder="1" applyAlignment="1">
      <alignment horizontal="center" vertical="center" wrapText="1"/>
    </xf>
    <xf numFmtId="164" fontId="15" fillId="2" borderId="11" xfId="10" applyNumberFormat="1" applyFont="1" applyFill="1" applyBorder="1" applyAlignment="1">
      <alignment horizontal="center" vertical="center" wrapText="1"/>
    </xf>
    <xf numFmtId="164" fontId="15" fillId="11" borderId="11" xfId="10" applyNumberFormat="1" applyFont="1" applyFill="1" applyBorder="1" applyAlignment="1">
      <alignment horizontal="center" vertical="center"/>
    </xf>
    <xf numFmtId="164" fontId="18" fillId="11" borderId="11" xfId="10" applyNumberFormat="1" applyFont="1" applyFill="1" applyBorder="1" applyAlignment="1">
      <alignment horizontal="center" vertical="center" wrapText="1"/>
    </xf>
    <xf numFmtId="0" fontId="15" fillId="2" borderId="8" xfId="0" applyFont="1" applyFill="1" applyBorder="1"/>
    <xf numFmtId="1" fontId="15" fillId="2" borderId="8" xfId="10" applyNumberFormat="1" applyFont="1" applyFill="1" applyBorder="1" applyAlignment="1">
      <alignment horizontal="center" vertical="center" wrapText="1"/>
    </xf>
    <xf numFmtId="164" fontId="15" fillId="11" borderId="8" xfId="10" applyNumberFormat="1" applyFont="1" applyFill="1" applyBorder="1" applyAlignment="1">
      <alignment horizontal="center" vertical="center"/>
    </xf>
    <xf numFmtId="164" fontId="15" fillId="11" borderId="8" xfId="10" applyNumberFormat="1" applyFont="1" applyFill="1" applyBorder="1" applyAlignment="1">
      <alignment horizontal="center" vertical="center" wrapText="1"/>
    </xf>
    <xf numFmtId="49" fontId="15" fillId="2" borderId="19" xfId="10" applyNumberFormat="1" applyFont="1" applyFill="1" applyBorder="1" applyAlignment="1">
      <alignment horizontal="center" vertical="center" wrapText="1"/>
    </xf>
    <xf numFmtId="14" fontId="15" fillId="2" borderId="8" xfId="0" applyNumberFormat="1" applyFont="1" applyFill="1" applyBorder="1" applyAlignment="1">
      <alignment wrapText="1"/>
    </xf>
    <xf numFmtId="0" fontId="15" fillId="0" borderId="8" xfId="0" applyFont="1" applyBorder="1" applyAlignment="1">
      <alignment horizontal="left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wrapText="1"/>
    </xf>
    <xf numFmtId="0" fontId="18" fillId="0" borderId="8" xfId="0" applyFont="1" applyBorder="1" applyAlignment="1">
      <alignment horizontal="left" vertical="center"/>
    </xf>
    <xf numFmtId="49" fontId="18" fillId="0" borderId="8" xfId="10" applyNumberFormat="1" applyFont="1" applyBorder="1" applyAlignment="1">
      <alignment horizontal="center" vertical="center" wrapText="1"/>
    </xf>
    <xf numFmtId="1" fontId="18" fillId="0" borderId="8" xfId="10" applyNumberFormat="1" applyFont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14" borderId="8" xfId="0" applyFont="1" applyFill="1" applyBorder="1"/>
    <xf numFmtId="49" fontId="15" fillId="0" borderId="19" xfId="10" applyNumberFormat="1" applyFont="1" applyBorder="1" applyAlignment="1">
      <alignment horizontal="center" vertical="center" wrapText="1"/>
    </xf>
    <xf numFmtId="0" fontId="18" fillId="0" borderId="8" xfId="0" applyFont="1" applyBorder="1"/>
    <xf numFmtId="0" fontId="18" fillId="0" borderId="0" xfId="0" applyFont="1" applyAlignment="1">
      <alignment horizontal="center"/>
    </xf>
    <xf numFmtId="0" fontId="15" fillId="28" borderId="8" xfId="0" applyFont="1" applyFill="1" applyBorder="1"/>
    <xf numFmtId="0" fontId="15" fillId="2" borderId="16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wrapText="1"/>
    </xf>
    <xf numFmtId="49" fontId="15" fillId="15" borderId="11" xfId="0" quotePrefix="1" applyNumberFormat="1" applyFont="1" applyFill="1" applyBorder="1" applyAlignment="1">
      <alignment horizontal="left" vertical="center" wrapText="1"/>
    </xf>
    <xf numFmtId="49" fontId="15" fillId="2" borderId="8" xfId="0" quotePrefix="1" applyNumberFormat="1" applyFont="1" applyFill="1" applyBorder="1" applyAlignment="1">
      <alignment horizontal="center" vertical="center" wrapText="1"/>
    </xf>
    <xf numFmtId="49" fontId="15" fillId="2" borderId="8" xfId="0" quotePrefix="1" applyNumberFormat="1" applyFont="1" applyFill="1" applyBorder="1" applyAlignment="1">
      <alignment horizontal="left" vertical="center" wrapText="1"/>
    </xf>
    <xf numFmtId="164" fontId="15" fillId="12" borderId="8" xfId="10" applyNumberFormat="1" applyFont="1" applyFill="1" applyBorder="1" applyAlignment="1">
      <alignment horizontal="center" wrapText="1"/>
    </xf>
    <xf numFmtId="164" fontId="15" fillId="0" borderId="8" xfId="10" applyNumberFormat="1" applyFont="1" applyBorder="1" applyAlignment="1">
      <alignment horizontal="right" vertical="center" wrapText="1"/>
    </xf>
    <xf numFmtId="164" fontId="15" fillId="8" borderId="8" xfId="0" applyNumberFormat="1" applyFont="1" applyFill="1" applyBorder="1" applyAlignment="1">
      <alignment horizontal="center" vertical="center" wrapText="1"/>
    </xf>
    <xf numFmtId="164" fontId="15" fillId="8" borderId="8" xfId="10" applyNumberFormat="1" applyFont="1" applyFill="1" applyBorder="1" applyAlignment="1">
      <alignment horizontal="center" vertical="center"/>
    </xf>
    <xf numFmtId="164" fontId="15" fillId="9" borderId="8" xfId="0" applyNumberFormat="1" applyFont="1" applyFill="1" applyBorder="1" applyAlignment="1">
      <alignment horizontal="center" vertical="center"/>
    </xf>
    <xf numFmtId="164" fontId="15" fillId="8" borderId="8" xfId="10" applyNumberFormat="1" applyFont="1" applyFill="1" applyBorder="1" applyAlignment="1">
      <alignment horizontal="center" vertical="center" wrapText="1"/>
    </xf>
    <xf numFmtId="164" fontId="15" fillId="2" borderId="8" xfId="10" applyNumberFormat="1" applyFont="1" applyFill="1" applyBorder="1" applyAlignment="1">
      <alignment horizontal="left" vertical="center" wrapText="1"/>
    </xf>
    <xf numFmtId="1" fontId="15" fillId="0" borderId="8" xfId="10" applyNumberFormat="1" applyFont="1" applyBorder="1" applyAlignment="1">
      <alignment horizontal="center" vertical="center"/>
    </xf>
    <xf numFmtId="164" fontId="15" fillId="2" borderId="8" xfId="10" applyNumberFormat="1" applyFont="1" applyFill="1" applyBorder="1" applyAlignment="1">
      <alignment horizontal="center"/>
    </xf>
    <xf numFmtId="1" fontId="15" fillId="0" borderId="8" xfId="10" applyNumberFormat="1" applyFont="1" applyBorder="1" applyAlignment="1">
      <alignment horizontal="center"/>
    </xf>
    <xf numFmtId="164" fontId="15" fillId="0" borderId="8" xfId="10" applyNumberFormat="1" applyFont="1" applyBorder="1" applyAlignment="1">
      <alignment horizontal="center"/>
    </xf>
    <xf numFmtId="1" fontId="15" fillId="2" borderId="8" xfId="10" applyNumberFormat="1" applyFont="1" applyFill="1" applyBorder="1" applyAlignment="1">
      <alignment horizontal="center" vertical="center"/>
    </xf>
    <xf numFmtId="164" fontId="15" fillId="2" borderId="8" xfId="10" applyNumberFormat="1" applyFont="1" applyFill="1" applyBorder="1" applyAlignment="1">
      <alignment horizontal="center" vertical="center"/>
    </xf>
    <xf numFmtId="49" fontId="15" fillId="2" borderId="8" xfId="10" applyNumberFormat="1" applyFont="1" applyFill="1" applyBorder="1" applyAlignment="1">
      <alignment horizontal="center" vertical="center"/>
    </xf>
    <xf numFmtId="164" fontId="15" fillId="0" borderId="8" xfId="10" applyNumberFormat="1" applyFont="1" applyBorder="1" applyAlignment="1">
      <alignment horizontal="left" vertical="center" wrapText="1" shrinkToFit="1"/>
    </xf>
    <xf numFmtId="164" fontId="15" fillId="16" borderId="8" xfId="0" applyNumberFormat="1" applyFont="1" applyFill="1" applyBorder="1" applyAlignment="1">
      <alignment horizontal="center" wrapText="1"/>
    </xf>
    <xf numFmtId="49" fontId="15" fillId="10" borderId="8" xfId="0" quotePrefix="1" applyNumberFormat="1" applyFont="1" applyFill="1" applyBorder="1" applyAlignment="1">
      <alignment horizontal="center" vertical="center" wrapText="1"/>
    </xf>
    <xf numFmtId="49" fontId="15" fillId="10" borderId="15" xfId="0" quotePrefix="1" applyNumberFormat="1" applyFont="1" applyFill="1" applyBorder="1" applyAlignment="1">
      <alignment horizontal="left" vertical="center" wrapText="1"/>
    </xf>
    <xf numFmtId="49" fontId="15" fillId="10" borderId="8" xfId="0" applyNumberFormat="1" applyFont="1" applyFill="1" applyBorder="1" applyAlignment="1">
      <alignment horizontal="center" vertical="center" wrapText="1"/>
    </xf>
    <xf numFmtId="49" fontId="15" fillId="10" borderId="11" xfId="0" applyNumberFormat="1" applyFont="1" applyFill="1" applyBorder="1" applyAlignment="1">
      <alignment horizontal="center" vertical="center" wrapText="1"/>
    </xf>
    <xf numFmtId="164" fontId="18" fillId="8" borderId="8" xfId="0" applyNumberFormat="1" applyFont="1" applyFill="1" applyBorder="1" applyAlignment="1">
      <alignment horizontal="center" wrapText="1"/>
    </xf>
    <xf numFmtId="164" fontId="15" fillId="8" borderId="8" xfId="0" applyNumberFormat="1" applyFont="1" applyFill="1" applyBorder="1" applyAlignment="1">
      <alignment horizontal="center" wrapText="1"/>
    </xf>
    <xf numFmtId="164" fontId="15" fillId="8" borderId="8" xfId="0" applyNumberFormat="1" applyFont="1" applyFill="1" applyBorder="1" applyAlignment="1">
      <alignment horizontal="center"/>
    </xf>
    <xf numFmtId="164" fontId="16" fillId="8" borderId="8" xfId="0" applyNumberFormat="1" applyFont="1" applyFill="1" applyBorder="1" applyAlignment="1">
      <alignment horizontal="center" wrapText="1"/>
    </xf>
    <xf numFmtId="164" fontId="15" fillId="2" borderId="15" xfId="10" applyNumberFormat="1" applyFont="1" applyFill="1" applyBorder="1" applyAlignment="1">
      <alignment horizontal="left" vertical="center" wrapText="1"/>
    </xf>
    <xf numFmtId="164" fontId="18" fillId="0" borderId="8" xfId="10" applyNumberFormat="1" applyFont="1" applyBorder="1" applyAlignment="1">
      <alignment horizontal="left" vertical="center" wrapText="1"/>
    </xf>
    <xf numFmtId="164" fontId="15" fillId="11" borderId="15" xfId="0" applyNumberFormat="1" applyFont="1" applyFill="1" applyBorder="1" applyAlignment="1">
      <alignment horizontal="center" vertical="center" wrapText="1"/>
    </xf>
    <xf numFmtId="0" fontId="15" fillId="25" borderId="8" xfId="0" applyFont="1" applyFill="1" applyBorder="1" applyAlignment="1">
      <alignment wrapText="1"/>
    </xf>
    <xf numFmtId="164" fontId="12" fillId="5" borderId="15" xfId="10" applyNumberFormat="1" applyFont="1" applyFill="1" applyBorder="1" applyAlignment="1">
      <alignment horizontal="center" vertical="center" wrapText="1"/>
    </xf>
    <xf numFmtId="164" fontId="12" fillId="5" borderId="15" xfId="10" applyNumberFormat="1" applyFont="1" applyFill="1" applyBorder="1" applyAlignment="1">
      <alignment horizontal="center" vertical="center"/>
    </xf>
    <xf numFmtId="49" fontId="15" fillId="2" borderId="8" xfId="0" quotePrefix="1" applyNumberFormat="1" applyFont="1" applyFill="1" applyBorder="1" applyAlignment="1">
      <alignment horizontal="center" wrapText="1"/>
    </xf>
    <xf numFmtId="0" fontId="15" fillId="2" borderId="8" xfId="0" applyFont="1" applyFill="1" applyBorder="1" applyAlignment="1">
      <alignment wrapText="1"/>
    </xf>
    <xf numFmtId="0" fontId="18" fillId="2" borderId="8" xfId="0" applyFont="1" applyFill="1" applyBorder="1" applyAlignment="1">
      <alignment horizontal="center" wrapText="1"/>
    </xf>
    <xf numFmtId="164" fontId="16" fillId="8" borderId="8" xfId="0" applyNumberFormat="1" applyFont="1" applyFill="1" applyBorder="1" applyAlignment="1">
      <alignment horizontal="center"/>
    </xf>
    <xf numFmtId="49" fontId="15" fillId="2" borderId="8" xfId="0" applyNumberFormat="1" applyFont="1" applyFill="1" applyBorder="1" applyAlignment="1">
      <alignment horizontal="center" wrapText="1"/>
    </xf>
    <xf numFmtId="164" fontId="19" fillId="8" borderId="8" xfId="0" applyNumberFormat="1" applyFont="1" applyFill="1" applyBorder="1" applyAlignment="1">
      <alignment horizontal="center" wrapText="1"/>
    </xf>
    <xf numFmtId="49" fontId="18" fillId="0" borderId="8" xfId="0" applyNumberFormat="1" applyFont="1" applyBorder="1" applyAlignment="1">
      <alignment horizontal="center"/>
    </xf>
    <xf numFmtId="164" fontId="15" fillId="0" borderId="8" xfId="0" applyNumberFormat="1" applyFont="1" applyBorder="1" applyAlignment="1">
      <alignment horizontal="center" wrapText="1"/>
    </xf>
    <xf numFmtId="164" fontId="15" fillId="16" borderId="8" xfId="0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/>
    </xf>
    <xf numFmtId="164" fontId="15" fillId="14" borderId="8" xfId="0" applyNumberFormat="1" applyFont="1" applyFill="1" applyBorder="1" applyAlignment="1">
      <alignment horizontal="center" wrapText="1"/>
    </xf>
    <xf numFmtId="0" fontId="15" fillId="2" borderId="8" xfId="0" applyFont="1" applyFill="1" applyBorder="1" applyAlignment="1">
      <alignment horizontal="center"/>
    </xf>
    <xf numFmtId="49" fontId="18" fillId="0" borderId="15" xfId="0" applyNumberFormat="1" applyFont="1" applyBorder="1" applyAlignment="1">
      <alignment horizontal="center"/>
    </xf>
    <xf numFmtId="0" fontId="15" fillId="2" borderId="15" xfId="0" applyFont="1" applyFill="1" applyBorder="1" applyAlignment="1">
      <alignment horizontal="center"/>
    </xf>
    <xf numFmtId="164" fontId="15" fillId="16" borderId="15" xfId="0" applyNumberFormat="1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/>
    </xf>
    <xf numFmtId="164" fontId="15" fillId="14" borderId="15" xfId="0" applyNumberFormat="1" applyFont="1" applyFill="1" applyBorder="1" applyAlignment="1">
      <alignment horizontal="center" wrapText="1"/>
    </xf>
    <xf numFmtId="49" fontId="18" fillId="0" borderId="18" xfId="0" applyNumberFormat="1" applyFont="1" applyBorder="1" applyAlignment="1">
      <alignment horizontal="center"/>
    </xf>
    <xf numFmtId="0" fontId="15" fillId="2" borderId="18" xfId="0" applyFont="1" applyFill="1" applyBorder="1" applyAlignment="1">
      <alignment horizontal="center"/>
    </xf>
    <xf numFmtId="164" fontId="15" fillId="14" borderId="18" xfId="0" applyNumberFormat="1" applyFont="1" applyFill="1" applyBorder="1" applyAlignment="1">
      <alignment horizontal="center" wrapText="1"/>
    </xf>
    <xf numFmtId="164" fontId="15" fillId="16" borderId="18" xfId="0" applyNumberFormat="1" applyFont="1" applyFill="1" applyBorder="1" applyAlignment="1">
      <alignment horizontal="center" vertical="center" wrapText="1"/>
    </xf>
    <xf numFmtId="49" fontId="18" fillId="0" borderId="37" xfId="0" applyNumberFormat="1" applyFont="1" applyBorder="1" applyAlignment="1">
      <alignment horizontal="center"/>
    </xf>
    <xf numFmtId="0" fontId="15" fillId="2" borderId="37" xfId="0" applyFont="1" applyFill="1" applyBorder="1" applyAlignment="1">
      <alignment horizontal="center"/>
    </xf>
    <xf numFmtId="164" fontId="15" fillId="14" borderId="37" xfId="0" applyNumberFormat="1" applyFont="1" applyFill="1" applyBorder="1" applyAlignment="1">
      <alignment horizontal="center" wrapText="1"/>
    </xf>
    <xf numFmtId="164" fontId="15" fillId="16" borderId="37" xfId="0" applyNumberFormat="1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horizontal="center" wrapText="1"/>
    </xf>
    <xf numFmtId="0" fontId="15" fillId="0" borderId="37" xfId="0" applyFont="1" applyBorder="1" applyAlignment="1">
      <alignment horizontal="center"/>
    </xf>
    <xf numFmtId="49" fontId="18" fillId="0" borderId="32" xfId="0" applyNumberFormat="1" applyFont="1" applyBorder="1" applyAlignment="1">
      <alignment horizontal="center"/>
    </xf>
    <xf numFmtId="0" fontId="15" fillId="0" borderId="18" xfId="0" applyFont="1" applyBorder="1" applyAlignment="1">
      <alignment wrapText="1"/>
    </xf>
    <xf numFmtId="0" fontId="18" fillId="0" borderId="18" xfId="0" applyFont="1" applyBorder="1" applyAlignment="1">
      <alignment horizontal="center"/>
    </xf>
    <xf numFmtId="164" fontId="18" fillId="14" borderId="18" xfId="0" applyNumberFormat="1" applyFont="1" applyFill="1" applyBorder="1" applyAlignment="1">
      <alignment horizontal="center" wrapText="1"/>
    </xf>
    <xf numFmtId="0" fontId="18" fillId="0" borderId="8" xfId="0" applyFont="1" applyBorder="1" applyAlignment="1">
      <alignment horizontal="center"/>
    </xf>
    <xf numFmtId="164" fontId="18" fillId="0" borderId="8" xfId="0" applyNumberFormat="1" applyFont="1" applyBorder="1" applyAlignment="1">
      <alignment horizontal="center"/>
    </xf>
    <xf numFmtId="49" fontId="15" fillId="0" borderId="18" xfId="0" applyNumberFormat="1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8" fillId="2" borderId="18" xfId="0" applyFont="1" applyFill="1" applyBorder="1" applyAlignment="1">
      <alignment horizontal="center" wrapText="1"/>
    </xf>
    <xf numFmtId="164" fontId="15" fillId="0" borderId="18" xfId="0" applyNumberFormat="1" applyFont="1" applyBorder="1" applyAlignment="1">
      <alignment horizontal="center" wrapText="1"/>
    </xf>
    <xf numFmtId="0" fontId="18" fillId="0" borderId="0" xfId="0" applyFont="1" applyAlignment="1">
      <alignment wrapText="1"/>
    </xf>
    <xf numFmtId="49" fontId="15" fillId="15" borderId="18" xfId="0" applyNumberFormat="1" applyFont="1" applyFill="1" applyBorder="1" applyAlignment="1">
      <alignment horizontal="center" wrapText="1"/>
    </xf>
    <xf numFmtId="0" fontId="18" fillId="15" borderId="18" xfId="0" applyFont="1" applyFill="1" applyBorder="1" applyAlignment="1">
      <alignment wrapText="1"/>
    </xf>
    <xf numFmtId="0" fontId="15" fillId="15" borderId="18" xfId="0" applyFont="1" applyFill="1" applyBorder="1" applyAlignment="1">
      <alignment horizontal="center" wrapText="1"/>
    </xf>
    <xf numFmtId="164" fontId="15" fillId="15" borderId="18" xfId="0" applyNumberFormat="1" applyFont="1" applyFill="1" applyBorder="1" applyAlignment="1">
      <alignment horizontal="center" wrapText="1"/>
    </xf>
    <xf numFmtId="164" fontId="16" fillId="15" borderId="18" xfId="0" applyNumberFormat="1" applyFont="1" applyFill="1" applyBorder="1" applyAlignment="1">
      <alignment horizontal="center" wrapText="1"/>
    </xf>
    <xf numFmtId="49" fontId="15" fillId="15" borderId="11" xfId="0" applyNumberFormat="1" applyFont="1" applyFill="1" applyBorder="1" applyAlignment="1">
      <alignment horizontal="center" wrapText="1"/>
    </xf>
    <xf numFmtId="0" fontId="15" fillId="15" borderId="11" xfId="0" applyFont="1" applyFill="1" applyBorder="1" applyAlignment="1">
      <alignment wrapText="1"/>
    </xf>
    <xf numFmtId="0" fontId="15" fillId="15" borderId="11" xfId="0" applyFont="1" applyFill="1" applyBorder="1" applyAlignment="1">
      <alignment horizontal="center" wrapText="1"/>
    </xf>
    <xf numFmtId="164" fontId="15" fillId="15" borderId="11" xfId="0" applyNumberFormat="1" applyFont="1" applyFill="1" applyBorder="1" applyAlignment="1">
      <alignment horizontal="center" wrapText="1"/>
    </xf>
    <xf numFmtId="164" fontId="16" fillId="15" borderId="11" xfId="0" applyNumberFormat="1" applyFont="1" applyFill="1" applyBorder="1" applyAlignment="1">
      <alignment horizontal="center" wrapText="1"/>
    </xf>
    <xf numFmtId="49" fontId="15" fillId="0" borderId="8" xfId="0" applyNumberFormat="1" applyFont="1" applyBorder="1" applyAlignment="1">
      <alignment horizontal="center"/>
    </xf>
    <xf numFmtId="164" fontId="15" fillId="0" borderId="8" xfId="0" applyNumberFormat="1" applyFont="1" applyBorder="1" applyAlignment="1">
      <alignment horizontal="center"/>
    </xf>
    <xf numFmtId="164" fontId="18" fillId="16" borderId="8" xfId="0" applyNumberFormat="1" applyFont="1" applyFill="1" applyBorder="1" applyAlignment="1">
      <alignment horizontal="center" wrapText="1"/>
    </xf>
    <xf numFmtId="49" fontId="15" fillId="20" borderId="8" xfId="0" applyNumberFormat="1" applyFont="1" applyFill="1" applyBorder="1" applyAlignment="1">
      <alignment horizontal="center"/>
    </xf>
    <xf numFmtId="0" fontId="18" fillId="20" borderId="8" xfId="0" applyFont="1" applyFill="1" applyBorder="1" applyAlignment="1">
      <alignment wrapText="1"/>
    </xf>
    <xf numFmtId="0" fontId="15" fillId="20" borderId="8" xfId="0" applyFont="1" applyFill="1" applyBorder="1" applyAlignment="1">
      <alignment horizontal="center"/>
    </xf>
    <xf numFmtId="164" fontId="15" fillId="20" borderId="8" xfId="0" applyNumberFormat="1" applyFont="1" applyFill="1" applyBorder="1" applyAlignment="1">
      <alignment horizontal="center"/>
    </xf>
    <xf numFmtId="164" fontId="19" fillId="16" borderId="8" xfId="0" applyNumberFormat="1" applyFont="1" applyFill="1" applyBorder="1" applyAlignment="1">
      <alignment horizontal="center" wrapText="1"/>
    </xf>
    <xf numFmtId="0" fontId="15" fillId="0" borderId="8" xfId="0" applyFont="1" applyBorder="1" applyAlignment="1">
      <alignment horizontal="right" wrapText="1"/>
    </xf>
    <xf numFmtId="0" fontId="18" fillId="0" borderId="8" xfId="0" applyFont="1" applyBorder="1" applyAlignment="1">
      <alignment horizontal="right" wrapText="1"/>
    </xf>
    <xf numFmtId="0" fontId="15" fillId="20" borderId="8" xfId="0" applyFont="1" applyFill="1" applyBorder="1" applyAlignment="1">
      <alignment wrapText="1"/>
    </xf>
    <xf numFmtId="49" fontId="15" fillId="14" borderId="8" xfId="0" applyNumberFormat="1" applyFont="1" applyFill="1" applyBorder="1" applyAlignment="1">
      <alignment horizontal="center"/>
    </xf>
    <xf numFmtId="0" fontId="15" fillId="0" borderId="8" xfId="0" applyFont="1" applyBorder="1" applyAlignment="1">
      <alignment horizontal="left" wrapText="1"/>
    </xf>
    <xf numFmtId="0" fontId="15" fillId="14" borderId="8" xfId="0" applyFont="1" applyFill="1" applyBorder="1" applyAlignment="1">
      <alignment horizontal="center"/>
    </xf>
    <xf numFmtId="0" fontId="15" fillId="2" borderId="8" xfId="12" applyFont="1" applyFill="1" applyBorder="1" applyAlignment="1">
      <alignment horizontal="center" vertical="center"/>
    </xf>
    <xf numFmtId="164" fontId="15" fillId="0" borderId="11" xfId="0" applyNumberFormat="1" applyFont="1" applyBorder="1" applyAlignment="1">
      <alignment horizontal="center" vertical="center" wrapText="1"/>
    </xf>
    <xf numFmtId="0" fontId="15" fillId="0" borderId="11" xfId="14" applyFont="1" applyBorder="1" applyAlignment="1">
      <alignment horizontal="center" vertical="center" wrapText="1"/>
    </xf>
    <xf numFmtId="0" fontId="15" fillId="5" borderId="11" xfId="14" applyFont="1" applyFill="1" applyBorder="1"/>
    <xf numFmtId="164" fontId="15" fillId="5" borderId="11" xfId="3" applyNumberFormat="1" applyFont="1" applyFill="1" applyBorder="1" applyAlignment="1">
      <alignment horizontal="center" vertical="center" wrapText="1"/>
    </xf>
    <xf numFmtId="0" fontId="15" fillId="0" borderId="8" xfId="14" applyFont="1" applyBorder="1" applyAlignment="1">
      <alignment horizontal="center" vertical="center" wrapText="1"/>
    </xf>
    <xf numFmtId="3" fontId="15" fillId="0" borderId="8" xfId="3" applyNumberFormat="1" applyFont="1" applyBorder="1" applyAlignment="1">
      <alignment horizontal="center" vertical="center" wrapText="1"/>
    </xf>
    <xf numFmtId="0" fontId="15" fillId="0" borderId="8" xfId="14" applyFont="1" applyBorder="1" applyAlignment="1">
      <alignment horizontal="center" vertical="center" textRotation="90" wrapText="1"/>
    </xf>
    <xf numFmtId="49" fontId="15" fillId="0" borderId="8" xfId="14" applyNumberFormat="1" applyFont="1" applyBorder="1" applyAlignment="1">
      <alignment horizontal="center" vertical="center" wrapText="1"/>
    </xf>
    <xf numFmtId="0" fontId="15" fillId="0" borderId="8" xfId="14" applyFont="1" applyBorder="1" applyAlignment="1">
      <alignment vertical="center" wrapText="1"/>
    </xf>
    <xf numFmtId="164" fontId="15" fillId="16" borderId="8" xfId="14" applyNumberFormat="1" applyFont="1" applyFill="1" applyBorder="1" applyAlignment="1">
      <alignment horizontal="center" vertical="center" wrapText="1"/>
    </xf>
    <xf numFmtId="165" fontId="15" fillId="16" borderId="8" xfId="14" applyNumberFormat="1" applyFont="1" applyFill="1" applyBorder="1" applyAlignment="1">
      <alignment horizontal="center" vertical="center" wrapText="1"/>
    </xf>
    <xf numFmtId="49" fontId="15" fillId="2" borderId="8" xfId="14" applyNumberFormat="1" applyFont="1" applyFill="1" applyBorder="1" applyAlignment="1">
      <alignment horizontal="center" vertical="center" wrapText="1"/>
    </xf>
    <xf numFmtId="0" fontId="15" fillId="2" borderId="8" xfId="14" applyFont="1" applyFill="1" applyBorder="1" applyAlignment="1">
      <alignment horizontal="center" vertical="center" wrapText="1"/>
    </xf>
    <xf numFmtId="49" fontId="18" fillId="0" borderId="8" xfId="14" applyNumberFormat="1" applyFont="1" applyBorder="1" applyAlignment="1">
      <alignment horizontal="center" vertical="center" wrapText="1"/>
    </xf>
    <xf numFmtId="0" fontId="18" fillId="0" borderId="8" xfId="14" applyFont="1" applyBorder="1" applyAlignment="1">
      <alignment vertical="center" wrapText="1"/>
    </xf>
    <xf numFmtId="0" fontId="15" fillId="5" borderId="8" xfId="14" applyFont="1" applyFill="1" applyBorder="1"/>
    <xf numFmtId="49" fontId="15" fillId="0" borderId="17" xfId="14" applyNumberFormat="1" applyFont="1" applyBorder="1" applyAlignment="1">
      <alignment horizontal="center" vertical="center" wrapText="1"/>
    </xf>
    <xf numFmtId="164" fontId="15" fillId="16" borderId="8" xfId="3" applyNumberFormat="1" applyFont="1" applyFill="1" applyBorder="1" applyAlignment="1">
      <alignment horizontal="center" vertical="center"/>
    </xf>
    <xf numFmtId="0" fontId="15" fillId="2" borderId="18" xfId="3" applyFont="1" applyFill="1" applyBorder="1" applyAlignment="1">
      <alignment vertical="center" wrapText="1"/>
    </xf>
    <xf numFmtId="164" fontId="15" fillId="2" borderId="17" xfId="3" applyNumberFormat="1" applyFont="1" applyFill="1" applyBorder="1" applyAlignment="1">
      <alignment horizontal="left" vertical="center" wrapText="1"/>
    </xf>
    <xf numFmtId="0" fontId="12" fillId="2" borderId="8" xfId="3" applyFill="1" applyBorder="1"/>
    <xf numFmtId="49" fontId="31" fillId="0" borderId="8" xfId="14" quotePrefix="1" applyNumberFormat="1" applyFont="1" applyBorder="1" applyAlignment="1">
      <alignment horizontal="center" vertical="center" wrapText="1"/>
    </xf>
    <xf numFmtId="49" fontId="15" fillId="0" borderId="8" xfId="14" quotePrefix="1" applyNumberFormat="1" applyFont="1" applyBorder="1" applyAlignment="1">
      <alignment horizontal="center" vertical="center" wrapText="1"/>
    </xf>
    <xf numFmtId="0" fontId="15" fillId="2" borderId="8" xfId="3" applyFont="1" applyFill="1" applyBorder="1" applyAlignment="1">
      <alignment wrapText="1"/>
    </xf>
    <xf numFmtId="0" fontId="15" fillId="2" borderId="8" xfId="3" applyFont="1" applyFill="1" applyBorder="1" applyAlignment="1">
      <alignment horizontal="center"/>
    </xf>
    <xf numFmtId="0" fontId="15" fillId="14" borderId="34" xfId="3" applyFont="1" applyFill="1" applyBorder="1" applyAlignment="1">
      <alignment horizontal="center" wrapText="1"/>
    </xf>
    <xf numFmtId="0" fontId="15" fillId="2" borderId="11" xfId="3" applyFont="1" applyFill="1" applyBorder="1" applyAlignment="1">
      <alignment horizontal="center"/>
    </xf>
    <xf numFmtId="165" fontId="15" fillId="16" borderId="11" xfId="3" applyNumberFormat="1" applyFont="1" applyFill="1" applyBorder="1" applyAlignment="1">
      <alignment horizontal="center"/>
    </xf>
    <xf numFmtId="0" fontId="15" fillId="7" borderId="8" xfId="3" applyFont="1" applyFill="1" applyBorder="1" applyAlignment="1">
      <alignment horizontal="left" vertical="center" wrapText="1"/>
    </xf>
    <xf numFmtId="164" fontId="18" fillId="16" borderId="8" xfId="14" applyNumberFormat="1" applyFont="1" applyFill="1" applyBorder="1" applyAlignment="1">
      <alignment horizontal="center" vertical="center" wrapText="1"/>
    </xf>
    <xf numFmtId="0" fontId="32" fillId="0" borderId="8" xfId="14" applyFont="1" applyBorder="1" applyAlignment="1">
      <alignment vertical="center" wrapText="1"/>
    </xf>
    <xf numFmtId="164" fontId="15" fillId="9" borderId="8" xfId="14" applyNumberFormat="1" applyFont="1" applyFill="1" applyBorder="1" applyAlignment="1">
      <alignment horizontal="center" vertical="center" wrapText="1"/>
    </xf>
    <xf numFmtId="0" fontId="29" fillId="0" borderId="8" xfId="14" applyBorder="1"/>
    <xf numFmtId="164" fontId="18" fillId="16" borderId="8" xfId="3" applyNumberFormat="1" applyFont="1" applyFill="1" applyBorder="1" applyAlignment="1">
      <alignment horizontal="center" vertical="center" wrapText="1"/>
    </xf>
    <xf numFmtId="0" fontId="15" fillId="0" borderId="8" xfId="14" quotePrefix="1" applyFont="1" applyBorder="1" applyAlignment="1">
      <alignment horizontal="center" vertical="center" wrapText="1"/>
    </xf>
    <xf numFmtId="0" fontId="18" fillId="2" borderId="8" xfId="14" applyFont="1" applyFill="1" applyBorder="1" applyAlignment="1">
      <alignment vertical="center" wrapText="1"/>
    </xf>
    <xf numFmtId="0" fontId="18" fillId="0" borderId="8" xfId="14" quotePrefix="1" applyFont="1" applyBorder="1" applyAlignment="1">
      <alignment horizontal="center" vertical="center" wrapText="1"/>
    </xf>
    <xf numFmtId="0" fontId="18" fillId="0" borderId="8" xfId="14" applyFont="1" applyBorder="1" applyAlignment="1">
      <alignment horizontal="center" vertical="center" wrapText="1"/>
    </xf>
    <xf numFmtId="49" fontId="15" fillId="0" borderId="8" xfId="14" applyNumberFormat="1" applyFont="1" applyBorder="1" applyAlignment="1">
      <alignment horizontal="center" vertical="center"/>
    </xf>
    <xf numFmtId="0" fontId="15" fillId="0" borderId="8" xfId="14" applyFont="1" applyBorder="1" applyAlignment="1">
      <alignment horizontal="center" vertical="center"/>
    </xf>
    <xf numFmtId="0" fontId="18" fillId="0" borderId="8" xfId="14" applyFont="1" applyBorder="1" applyAlignment="1">
      <alignment horizontal="right" vertical="center" wrapText="1"/>
    </xf>
    <xf numFmtId="0" fontId="18" fillId="2" borderId="8" xfId="14" applyFont="1" applyFill="1" applyBorder="1" applyAlignment="1">
      <alignment horizontal="right" vertical="center" wrapText="1"/>
    </xf>
    <xf numFmtId="0" fontId="18" fillId="0" borderId="8" xfId="3" applyFont="1" applyBorder="1" applyAlignment="1">
      <alignment horizontal="right" vertical="center" wrapText="1"/>
    </xf>
    <xf numFmtId="164" fontId="16" fillId="16" borderId="8" xfId="3" applyNumberFormat="1" applyFont="1" applyFill="1" applyBorder="1" applyAlignment="1">
      <alignment horizontal="center" vertical="center" wrapText="1"/>
    </xf>
    <xf numFmtId="0" fontId="15" fillId="0" borderId="8" xfId="3" applyFont="1" applyBorder="1" applyAlignment="1">
      <alignment horizontal="center" vertical="center" textRotation="255" wrapText="1"/>
    </xf>
    <xf numFmtId="0" fontId="15" fillId="20" borderId="8" xfId="3" applyFont="1" applyFill="1" applyBorder="1" applyAlignment="1">
      <alignment horizontal="left" vertical="center" wrapText="1"/>
    </xf>
    <xf numFmtId="167" fontId="15" fillId="0" borderId="8" xfId="3" applyNumberFormat="1" applyFont="1" applyBorder="1" applyAlignment="1">
      <alignment horizontal="center" vertical="center"/>
    </xf>
    <xf numFmtId="0" fontId="16" fillId="5" borderId="11" xfId="3" applyFont="1" applyFill="1" applyBorder="1" applyAlignment="1">
      <alignment horizontal="center" vertical="center" textRotation="90" wrapText="1"/>
    </xf>
    <xf numFmtId="0" fontId="16" fillId="5" borderId="11" xfId="3" applyFont="1" applyFill="1" applyBorder="1" applyAlignment="1">
      <alignment vertical="center" wrapText="1"/>
    </xf>
    <xf numFmtId="49" fontId="16" fillId="15" borderId="8" xfId="3" quotePrefix="1" applyNumberFormat="1" applyFont="1" applyFill="1" applyBorder="1" applyAlignment="1">
      <alignment horizontal="center" vertical="center" wrapText="1"/>
    </xf>
    <xf numFmtId="0" fontId="16" fillId="8" borderId="8" xfId="3" applyFont="1" applyFill="1" applyBorder="1" applyAlignment="1">
      <alignment horizontal="left" vertical="center" wrapText="1"/>
    </xf>
    <xf numFmtId="3" fontId="15" fillId="0" borderId="8" xfId="3" applyNumberFormat="1" applyFont="1" applyBorder="1" applyAlignment="1">
      <alignment horizontal="center" wrapText="1"/>
    </xf>
    <xf numFmtId="0" fontId="16" fillId="23" borderId="8" xfId="3" applyFont="1" applyFill="1" applyBorder="1" applyAlignment="1">
      <alignment horizontal="center" vertical="center" wrapText="1"/>
    </xf>
    <xf numFmtId="164" fontId="16" fillId="23" borderId="8" xfId="3" applyNumberFormat="1" applyFont="1" applyFill="1" applyBorder="1" applyAlignment="1">
      <alignment horizontal="center" vertical="center" wrapText="1"/>
    </xf>
    <xf numFmtId="0" fontId="18" fillId="0" borderId="0" xfId="3" applyFont="1" applyAlignment="1">
      <alignment horizontal="center"/>
    </xf>
    <xf numFmtId="0" fontId="15" fillId="2" borderId="8" xfId="3" applyFont="1" applyFill="1" applyBorder="1" applyAlignment="1">
      <alignment horizontal="center" wrapText="1"/>
    </xf>
    <xf numFmtId="0" fontId="15" fillId="12" borderId="8" xfId="3" applyFont="1" applyFill="1" applyBorder="1" applyAlignment="1">
      <alignment horizontal="right" vertical="center"/>
    </xf>
    <xf numFmtId="0" fontId="16" fillId="9" borderId="8" xfId="3" applyFont="1" applyFill="1" applyBorder="1" applyAlignment="1">
      <alignment horizontal="center" vertical="center" wrapText="1"/>
    </xf>
    <xf numFmtId="0" fontId="15" fillId="12" borderId="8" xfId="3" applyFont="1" applyFill="1" applyBorder="1" applyAlignment="1">
      <alignment vertical="center" wrapText="1"/>
    </xf>
    <xf numFmtId="0" fontId="15" fillId="12" borderId="8" xfId="3" applyFont="1" applyFill="1" applyBorder="1" applyAlignment="1">
      <alignment horizontal="center" vertical="center"/>
    </xf>
    <xf numFmtId="0" fontId="16" fillId="11" borderId="8" xfId="3" applyFont="1" applyFill="1" applyBorder="1" applyAlignment="1">
      <alignment horizontal="center" vertical="center" wrapText="1"/>
    </xf>
    <xf numFmtId="164" fontId="16" fillId="11" borderId="8" xfId="3" applyNumberFormat="1" applyFont="1" applyFill="1" applyBorder="1" applyAlignment="1">
      <alignment horizontal="center" vertical="center" wrapText="1"/>
    </xf>
    <xf numFmtId="0" fontId="15" fillId="2" borderId="8" xfId="3" applyFont="1" applyFill="1" applyBorder="1" applyAlignment="1">
      <alignment horizontal="center" shrinkToFit="1"/>
    </xf>
    <xf numFmtId="0" fontId="16" fillId="5" borderId="8" xfId="3" applyFont="1" applyFill="1" applyBorder="1" applyAlignment="1">
      <alignment vertical="center" wrapText="1"/>
    </xf>
    <xf numFmtId="0" fontId="22" fillId="2" borderId="8" xfId="8" applyFont="1" applyFill="1" applyBorder="1" applyAlignment="1">
      <alignment horizontal="center"/>
    </xf>
    <xf numFmtId="0" fontId="22" fillId="0" borderId="8" xfId="8" applyFont="1" applyBorder="1" applyAlignment="1">
      <alignment horizontal="center"/>
    </xf>
    <xf numFmtId="49" fontId="15" fillId="2" borderId="8" xfId="3" applyNumberFormat="1" applyFont="1" applyFill="1" applyBorder="1" applyAlignment="1">
      <alignment horizontal="center" wrapText="1"/>
    </xf>
    <xf numFmtId="49" fontId="15" fillId="2" borderId="8" xfId="3" applyNumberFormat="1" applyFont="1" applyFill="1" applyBorder="1" applyAlignment="1">
      <alignment horizontal="center"/>
    </xf>
    <xf numFmtId="0" fontId="16" fillId="5" borderId="8" xfId="3" applyFont="1" applyFill="1" applyBorder="1" applyAlignment="1">
      <alignment horizontal="center" vertical="center" textRotation="90" wrapText="1"/>
    </xf>
    <xf numFmtId="0" fontId="15" fillId="2" borderId="8" xfId="8" applyFont="1" applyFill="1" applyBorder="1" applyAlignment="1">
      <alignment horizontal="center"/>
    </xf>
    <xf numFmtId="0" fontId="15" fillId="12" borderId="8" xfId="3" applyFont="1" applyFill="1" applyBorder="1" applyAlignment="1">
      <alignment horizontal="left" vertical="center" wrapText="1"/>
    </xf>
    <xf numFmtId="0" fontId="15" fillId="12" borderId="15" xfId="3" applyFont="1" applyFill="1" applyBorder="1" applyAlignment="1">
      <alignment horizontal="left" vertical="center" wrapText="1"/>
    </xf>
    <xf numFmtId="0" fontId="15" fillId="2" borderId="15" xfId="3" applyFont="1" applyFill="1" applyBorder="1" applyAlignment="1">
      <alignment horizontal="center" vertical="center" wrapText="1"/>
    </xf>
    <xf numFmtId="0" fontId="15" fillId="0" borderId="0" xfId="3" applyFont="1" applyAlignment="1">
      <alignment vertical="center"/>
    </xf>
    <xf numFmtId="0" fontId="15" fillId="0" borderId="0" xfId="3" applyFont="1" applyAlignment="1">
      <alignment horizontal="center" vertical="center" wrapText="1"/>
    </xf>
    <xf numFmtId="164" fontId="15" fillId="0" borderId="0" xfId="3" applyNumberFormat="1" applyFont="1" applyAlignment="1">
      <alignment horizontal="center" vertical="center" wrapText="1"/>
    </xf>
    <xf numFmtId="165" fontId="15" fillId="0" borderId="8" xfId="0" applyNumberFormat="1" applyFont="1" applyBorder="1" applyAlignment="1" applyProtection="1">
      <alignment horizontal="left" vertical="center" wrapText="1"/>
      <protection locked="0"/>
    </xf>
    <xf numFmtId="0" fontId="15" fillId="10" borderId="8" xfId="0" applyFont="1" applyFill="1" applyBorder="1" applyAlignment="1" applyProtection="1">
      <alignment horizontal="center" vertical="center" wrapText="1"/>
      <protection locked="0"/>
    </xf>
    <xf numFmtId="165" fontId="15" fillId="10" borderId="8" xfId="0" applyNumberFormat="1" applyFont="1" applyFill="1" applyBorder="1" applyAlignment="1" applyProtection="1">
      <alignment horizontal="left" vertical="center" wrapText="1"/>
      <protection locked="0"/>
    </xf>
    <xf numFmtId="164" fontId="15" fillId="2" borderId="8" xfId="3" applyNumberFormat="1" applyFont="1" applyFill="1" applyBorder="1" applyAlignment="1" applyProtection="1">
      <alignment horizontal="left" vertical="center" wrapText="1"/>
      <protection locked="0"/>
    </xf>
    <xf numFmtId="0" fontId="15" fillId="0" borderId="8" xfId="14" applyFont="1" applyBorder="1" applyAlignment="1" applyProtection="1">
      <alignment horizontal="left" vertical="center" wrapText="1"/>
      <protection locked="0"/>
    </xf>
    <xf numFmtId="0" fontId="15" fillId="0" borderId="8" xfId="14" applyFont="1" applyBorder="1" applyAlignment="1" applyProtection="1">
      <alignment horizontal="center" vertical="center"/>
      <protection locked="0"/>
    </xf>
    <xf numFmtId="0" fontId="15" fillId="2" borderId="8" xfId="14" applyFont="1" applyFill="1" applyBorder="1" applyAlignment="1" applyProtection="1">
      <alignment horizontal="left" vertical="center" wrapText="1"/>
      <protection locked="0"/>
    </xf>
    <xf numFmtId="0" fontId="15" fillId="0" borderId="19" xfId="14" applyFont="1" applyBorder="1" applyAlignment="1" applyProtection="1">
      <alignment horizontal="left" vertical="center" wrapText="1"/>
      <protection locked="0"/>
    </xf>
    <xf numFmtId="0" fontId="15" fillId="2" borderId="17" xfId="14" applyFont="1" applyFill="1" applyBorder="1" applyAlignment="1" applyProtection="1">
      <alignment horizontal="left" vertical="center" wrapText="1"/>
      <protection locked="0"/>
    </xf>
    <xf numFmtId="0" fontId="18" fillId="0" borderId="8" xfId="14" applyFont="1" applyBorder="1" applyAlignment="1" applyProtection="1">
      <alignment horizontal="left" vertical="center" wrapText="1"/>
      <protection locked="0"/>
    </xf>
    <xf numFmtId="0" fontId="32" fillId="0" borderId="8" xfId="14" applyFont="1" applyBorder="1" applyAlignment="1" applyProtection="1">
      <alignment horizontal="left" vertical="center" wrapText="1"/>
      <protection locked="0"/>
    </xf>
    <xf numFmtId="0" fontId="32" fillId="0" borderId="19" xfId="14" applyFont="1" applyBorder="1" applyAlignment="1" applyProtection="1">
      <alignment horizontal="left" vertical="center" wrapText="1"/>
      <protection locked="0"/>
    </xf>
    <xf numFmtId="0" fontId="32" fillId="0" borderId="8" xfId="14" applyFont="1" applyBorder="1" applyAlignment="1" applyProtection="1">
      <alignment horizontal="center" vertical="center"/>
      <protection locked="0"/>
    </xf>
    <xf numFmtId="0" fontId="32" fillId="0" borderId="8" xfId="14" quotePrefix="1" applyFont="1" applyBorder="1" applyAlignment="1" applyProtection="1">
      <alignment horizontal="center" vertical="center"/>
      <protection locked="0"/>
    </xf>
    <xf numFmtId="0" fontId="26" fillId="0" borderId="19" xfId="14" applyFont="1" applyBorder="1" applyAlignment="1" applyProtection="1">
      <alignment horizontal="left" vertical="center" wrapText="1"/>
      <protection locked="0"/>
    </xf>
    <xf numFmtId="0" fontId="12" fillId="0" borderId="0" xfId="3" applyAlignment="1" applyProtection="1">
      <alignment horizontal="left"/>
      <protection locked="0"/>
    </xf>
    <xf numFmtId="3" fontId="15" fillId="0" borderId="19" xfId="15" applyNumberFormat="1" applyFont="1" applyBorder="1" applyAlignment="1" applyProtection="1">
      <alignment horizontal="left" vertical="center" wrapText="1"/>
      <protection locked="0"/>
    </xf>
    <xf numFmtId="0" fontId="32" fillId="0" borderId="17" xfId="14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left" vertical="center"/>
      <protection locked="0"/>
    </xf>
    <xf numFmtId="0" fontId="0" fillId="0" borderId="8" xfId="0" applyBorder="1" applyProtection="1">
      <protection locked="0"/>
    </xf>
    <xf numFmtId="0" fontId="7" fillId="0" borderId="19" xfId="3" applyFont="1" applyBorder="1" applyAlignment="1" applyProtection="1">
      <alignment horizontal="left" vertical="center" wrapText="1"/>
      <protection locked="0"/>
    </xf>
    <xf numFmtId="0" fontId="7" fillId="0" borderId="48" xfId="3" applyFont="1" applyBorder="1" applyAlignment="1" applyProtection="1">
      <alignment horizontal="left" vertical="center" wrapText="1"/>
      <protection locked="0"/>
    </xf>
    <xf numFmtId="0" fontId="7" fillId="0" borderId="34" xfId="3" applyFont="1" applyBorder="1" applyAlignment="1" applyProtection="1">
      <alignment horizontal="left" vertical="center" wrapText="1"/>
      <protection locked="0"/>
    </xf>
    <xf numFmtId="0" fontId="7" fillId="0" borderId="15" xfId="3" applyFont="1" applyBorder="1" applyAlignment="1">
      <alignment vertical="center" wrapText="1"/>
    </xf>
    <xf numFmtId="0" fontId="7" fillId="0" borderId="15" xfId="3" applyFont="1" applyBorder="1" applyAlignment="1">
      <alignment horizontal="right"/>
    </xf>
    <xf numFmtId="0" fontId="7" fillId="0" borderId="8" xfId="3" applyFont="1" applyBorder="1" applyAlignment="1">
      <alignment horizontal="left"/>
    </xf>
    <xf numFmtId="0" fontId="7" fillId="2" borderId="8" xfId="3" applyFont="1" applyFill="1" applyBorder="1" applyAlignment="1">
      <alignment horizontal="left"/>
    </xf>
    <xf numFmtId="0" fontId="7" fillId="0" borderId="8" xfId="3" applyFont="1" applyBorder="1" applyAlignment="1">
      <alignment horizontal="center" vertical="center"/>
    </xf>
    <xf numFmtId="0" fontId="7" fillId="0" borderId="15" xfId="8" applyFont="1" applyBorder="1" applyAlignment="1">
      <alignment horizontal="center"/>
    </xf>
    <xf numFmtId="0" fontId="7" fillId="0" borderId="8" xfId="8" applyFont="1" applyBorder="1" applyAlignment="1">
      <alignment horizontal="center" vertical="center"/>
    </xf>
    <xf numFmtId="49" fontId="7" fillId="0" borderId="8" xfId="12" applyNumberFormat="1" applyFont="1" applyBorder="1" applyAlignment="1">
      <alignment horizontal="center"/>
    </xf>
    <xf numFmtId="0" fontId="7" fillId="0" borderId="8" xfId="12" applyFont="1" applyBorder="1" applyAlignment="1">
      <alignment horizontal="center"/>
    </xf>
    <xf numFmtId="0" fontId="7" fillId="0" borderId="15" xfId="0" applyFont="1" applyBorder="1" applyAlignment="1">
      <alignment horizontal="left" vertical="center" wrapText="1"/>
    </xf>
    <xf numFmtId="164" fontId="7" fillId="16" borderId="8" xfId="14" applyNumberFormat="1" applyFont="1" applyFill="1" applyBorder="1" applyAlignment="1">
      <alignment horizontal="center" vertical="center" wrapText="1"/>
    </xf>
    <xf numFmtId="165" fontId="7" fillId="16" borderId="8" xfId="14" applyNumberFormat="1" applyFont="1" applyFill="1" applyBorder="1" applyAlignment="1">
      <alignment horizontal="center" vertical="center" wrapText="1"/>
    </xf>
    <xf numFmtId="164" fontId="7" fillId="0" borderId="8" xfId="10" applyNumberFormat="1" applyFont="1" applyBorder="1" applyAlignment="1" applyProtection="1">
      <alignment horizontal="left" vertical="center" wrapText="1"/>
      <protection locked="0"/>
    </xf>
    <xf numFmtId="0" fontId="7" fillId="0" borderId="8" xfId="16" applyFont="1" applyFill="1" applyBorder="1" applyAlignment="1" applyProtection="1">
      <alignment vertical="center" wrapText="1"/>
    </xf>
    <xf numFmtId="0" fontId="7" fillId="0" borderId="8" xfId="3" applyFont="1" applyBorder="1" applyAlignment="1">
      <alignment vertical="center" wrapText="1"/>
    </xf>
    <xf numFmtId="0" fontId="7" fillId="0" borderId="8" xfId="8" applyFont="1" applyBorder="1" applyAlignment="1">
      <alignment horizontal="center"/>
    </xf>
    <xf numFmtId="0" fontId="7" fillId="0" borderId="8" xfId="8" applyFont="1" applyBorder="1" applyAlignment="1" applyProtection="1">
      <alignment vertical="center" wrapText="1"/>
      <protection locked="0"/>
    </xf>
    <xf numFmtId="0" fontId="7" fillId="0" borderId="19" xfId="8" applyFont="1" applyBorder="1" applyAlignment="1" applyProtection="1">
      <alignment horizontal="left" vertical="center" wrapText="1"/>
      <protection locked="0"/>
    </xf>
    <xf numFmtId="49" fontId="7" fillId="0" borderId="8" xfId="8" applyNumberFormat="1" applyFont="1" applyBorder="1"/>
    <xf numFmtId="0" fontId="7" fillId="0" borderId="8" xfId="8" applyFont="1" applyBorder="1" applyAlignment="1">
      <alignment vertical="center" wrapText="1"/>
    </xf>
    <xf numFmtId="0" fontId="7" fillId="2" borderId="8" xfId="8" applyFont="1" applyFill="1" applyBorder="1" applyAlignment="1">
      <alignment horizontal="center"/>
    </xf>
    <xf numFmtId="0" fontId="7" fillId="2" borderId="8" xfId="8" applyFont="1" applyFill="1" applyBorder="1" applyAlignment="1">
      <alignment horizontal="center" vertical="center"/>
    </xf>
    <xf numFmtId="0" fontId="7" fillId="0" borderId="8" xfId="8" applyFont="1" applyBorder="1" applyAlignment="1" applyProtection="1">
      <alignment horizontal="center" vertical="center"/>
      <protection locked="0"/>
    </xf>
    <xf numFmtId="0" fontId="7" fillId="0" borderId="8" xfId="8" applyFont="1" applyBorder="1" applyAlignment="1">
      <alignment horizontal="left" vertical="center" wrapText="1"/>
    </xf>
    <xf numFmtId="0" fontId="7" fillId="0" borderId="8" xfId="8" applyFont="1" applyBorder="1" applyAlignment="1">
      <alignment vertical="center"/>
    </xf>
    <xf numFmtId="164" fontId="7" fillId="0" borderId="8" xfId="8" applyNumberFormat="1" applyFont="1" applyBorder="1" applyAlignment="1" applyProtection="1">
      <alignment vertical="center" wrapText="1"/>
      <protection locked="0"/>
    </xf>
    <xf numFmtId="0" fontId="7" fillId="0" borderId="36" xfId="8" applyFont="1" applyBorder="1" applyAlignment="1" applyProtection="1">
      <alignment horizontal="left" vertical="center" wrapText="1"/>
      <protection locked="0"/>
    </xf>
    <xf numFmtId="0" fontId="7" fillId="0" borderId="45" xfId="8" applyFont="1" applyBorder="1" applyAlignment="1" applyProtection="1">
      <alignment horizontal="left" vertical="center" wrapText="1"/>
      <protection locked="0"/>
    </xf>
    <xf numFmtId="0" fontId="7" fillId="0" borderId="34" xfId="8" applyFont="1" applyBorder="1" applyAlignment="1" applyProtection="1">
      <alignment horizontal="left" vertical="center" wrapText="1"/>
      <protection locked="0"/>
    </xf>
    <xf numFmtId="0" fontId="7" fillId="2" borderId="8" xfId="8" applyFont="1" applyFill="1" applyBorder="1" applyAlignment="1" applyProtection="1">
      <alignment vertical="center" wrapText="1"/>
      <protection locked="0"/>
    </xf>
    <xf numFmtId="0" fontId="7" fillId="2" borderId="8" xfId="8" applyFont="1" applyFill="1" applyBorder="1" applyAlignment="1" applyProtection="1">
      <alignment horizontal="center" vertical="center"/>
      <protection locked="0"/>
    </xf>
    <xf numFmtId="0" fontId="7" fillId="0" borderId="8" xfId="8" applyFont="1" applyBorder="1" applyAlignment="1" applyProtection="1">
      <alignment horizontal="left" vertical="center" wrapText="1"/>
      <protection locked="0"/>
    </xf>
    <xf numFmtId="0" fontId="7" fillId="0" borderId="8" xfId="8" applyFont="1" applyBorder="1" applyAlignment="1">
      <alignment horizontal="right" vertical="center" wrapText="1"/>
    </xf>
    <xf numFmtId="0" fontId="7" fillId="0" borderId="8" xfId="3" applyFont="1" applyBorder="1" applyAlignment="1" applyProtection="1">
      <alignment vertical="center" wrapText="1"/>
      <protection locked="0"/>
    </xf>
    <xf numFmtId="49" fontId="7" fillId="0" borderId="8" xfId="8" applyNumberFormat="1" applyFont="1" applyBorder="1" applyAlignment="1">
      <alignment horizontal="center" vertical="center"/>
    </xf>
    <xf numFmtId="3" fontId="7" fillId="0" borderId="8" xfId="3" applyNumberFormat="1" applyFont="1" applyBorder="1" applyAlignment="1" applyProtection="1">
      <alignment vertical="center" wrapText="1"/>
      <protection locked="0"/>
    </xf>
    <xf numFmtId="0" fontId="7" fillId="0" borderId="8" xfId="8" applyFont="1" applyBorder="1" applyAlignment="1" applyProtection="1">
      <alignment horizontal="center" vertical="center" wrapText="1"/>
      <protection locked="0"/>
    </xf>
    <xf numFmtId="0" fontId="7" fillId="0" borderId="8" xfId="8" applyFont="1" applyBorder="1"/>
    <xf numFmtId="0" fontId="7" fillId="2" borderId="8" xfId="8" applyFont="1" applyFill="1" applyBorder="1" applyAlignment="1">
      <alignment vertical="center" wrapText="1"/>
    </xf>
    <xf numFmtId="0" fontId="7" fillId="2" borderId="19" xfId="8" applyFont="1" applyFill="1" applyBorder="1" applyAlignment="1" applyProtection="1">
      <alignment horizontal="left" vertical="center" wrapText="1"/>
      <protection locked="0"/>
    </xf>
    <xf numFmtId="49" fontId="7" fillId="0" borderId="15" xfId="8" applyNumberFormat="1" applyFont="1" applyBorder="1"/>
    <xf numFmtId="0" fontId="7" fillId="0" borderId="15" xfId="8" applyFont="1" applyBorder="1" applyAlignment="1">
      <alignment horizontal="center" vertical="center"/>
    </xf>
    <xf numFmtId="0" fontId="12" fillId="0" borderId="51" xfId="0" applyFont="1" applyBorder="1" applyAlignment="1">
      <alignment horizontal="center"/>
    </xf>
    <xf numFmtId="0" fontId="18" fillId="2" borderId="19" xfId="3" applyFont="1" applyFill="1" applyBorder="1" applyAlignment="1" applyProtection="1">
      <alignment horizontal="left" vertical="center" wrapText="1"/>
      <protection locked="0"/>
    </xf>
    <xf numFmtId="0" fontId="7" fillId="2" borderId="8" xfId="3" applyFont="1" applyFill="1" applyBorder="1" applyAlignment="1" applyProtection="1">
      <alignment horizontal="left" vertical="center" wrapText="1"/>
      <protection locked="0"/>
    </xf>
    <xf numFmtId="0" fontId="7" fillId="2" borderId="8" xfId="3" applyFont="1" applyFill="1" applyBorder="1" applyAlignment="1" applyProtection="1">
      <alignment horizontal="center" vertical="center" wrapText="1"/>
      <protection locked="0"/>
    </xf>
    <xf numFmtId="165" fontId="15" fillId="2" borderId="8" xfId="0" applyNumberFormat="1" applyFont="1" applyFill="1" applyBorder="1" applyAlignment="1" applyProtection="1">
      <alignment horizontal="left" vertical="center" wrapText="1"/>
      <protection locked="0"/>
    </xf>
    <xf numFmtId="0" fontId="33" fillId="0" borderId="18" xfId="14" applyFont="1" applyBorder="1" applyProtection="1">
      <protection locked="0"/>
    </xf>
    <xf numFmtId="0" fontId="15" fillId="0" borderId="52" xfId="14" applyFont="1" applyBorder="1" applyProtection="1">
      <protection locked="0"/>
    </xf>
    <xf numFmtId="0" fontId="29" fillId="0" borderId="40" xfId="14" applyBorder="1" applyProtection="1">
      <protection locked="0"/>
    </xf>
    <xf numFmtId="0" fontId="32" fillId="0" borderId="33" xfId="14" applyFont="1" applyBorder="1" applyAlignment="1" applyProtection="1">
      <alignment horizontal="center" vertical="center"/>
      <protection locked="0"/>
    </xf>
    <xf numFmtId="0" fontId="15" fillId="2" borderId="8" xfId="0" applyFont="1" applyFill="1" applyBorder="1" applyAlignment="1" applyProtection="1">
      <alignment wrapText="1"/>
      <protection locked="0"/>
    </xf>
    <xf numFmtId="164" fontId="15" fillId="2" borderId="8" xfId="3" applyNumberFormat="1" applyFont="1" applyFill="1" applyBorder="1" applyAlignment="1" applyProtection="1">
      <alignment vertical="center" wrapText="1"/>
      <protection locked="0"/>
    </xf>
    <xf numFmtId="165" fontId="15" fillId="0" borderId="8" xfId="0" applyNumberFormat="1" applyFont="1" applyBorder="1" applyAlignment="1" applyProtection="1">
      <alignment horizontal="center" vertical="center" wrapText="1"/>
      <protection locked="0"/>
    </xf>
    <xf numFmtId="0" fontId="15" fillId="0" borderId="19" xfId="0" applyFont="1" applyBorder="1" applyAlignment="1" applyProtection="1">
      <alignment horizontal="center" wrapText="1"/>
      <protection locked="0"/>
    </xf>
    <xf numFmtId="164" fontId="15" fillId="2" borderId="19" xfId="3" applyNumberFormat="1" applyFont="1" applyFill="1" applyBorder="1" applyAlignment="1" applyProtection="1">
      <alignment vertical="center" wrapText="1"/>
      <protection locked="0"/>
    </xf>
    <xf numFmtId="0" fontId="18" fillId="2" borderId="8" xfId="0" applyFont="1" applyFill="1" applyBorder="1" applyAlignment="1" applyProtection="1">
      <alignment horizontal="left" wrapText="1"/>
      <protection locked="0"/>
    </xf>
    <xf numFmtId="0" fontId="18" fillId="2" borderId="8" xfId="0" applyFont="1" applyFill="1" applyBorder="1" applyAlignment="1" applyProtection="1">
      <alignment horizontal="center"/>
      <protection locked="0"/>
    </xf>
    <xf numFmtId="3" fontId="15" fillId="0" borderId="13" xfId="0" applyNumberFormat="1" applyFont="1" applyBorder="1" applyAlignment="1">
      <alignment horizontal="center" vertical="center" wrapText="1"/>
    </xf>
    <xf numFmtId="0" fontId="15" fillId="0" borderId="15" xfId="3" applyFont="1" applyBorder="1" applyAlignment="1">
      <alignment horizontal="left" vertical="center" wrapText="1"/>
    </xf>
    <xf numFmtId="0" fontId="18" fillId="0" borderId="15" xfId="3" applyFont="1" applyBorder="1" applyAlignment="1">
      <alignment horizontal="left" vertical="center" wrapText="1"/>
    </xf>
    <xf numFmtId="165" fontId="15" fillId="10" borderId="19" xfId="0" applyNumberFormat="1" applyFont="1" applyFill="1" applyBorder="1" applyAlignment="1" applyProtection="1">
      <alignment horizontal="left" vertical="center" wrapText="1"/>
      <protection locked="0"/>
    </xf>
    <xf numFmtId="0" fontId="15" fillId="10" borderId="19" xfId="0" applyFont="1" applyFill="1" applyBorder="1" applyAlignment="1" applyProtection="1">
      <alignment wrapText="1"/>
      <protection locked="0"/>
    </xf>
    <xf numFmtId="164" fontId="43" fillId="2" borderId="8" xfId="3" applyNumberFormat="1" applyFont="1" applyFill="1" applyBorder="1" applyAlignment="1" applyProtection="1">
      <alignment vertical="center" wrapText="1"/>
      <protection locked="0"/>
    </xf>
    <xf numFmtId="165" fontId="43" fillId="2" borderId="8" xfId="0" applyNumberFormat="1" applyFont="1" applyFill="1" applyBorder="1" applyAlignment="1" applyProtection="1">
      <alignment horizontal="left" vertical="center" wrapText="1"/>
      <protection locked="0"/>
    </xf>
    <xf numFmtId="164" fontId="15" fillId="0" borderId="19" xfId="3" applyNumberFormat="1" applyFont="1" applyBorder="1" applyAlignment="1" applyProtection="1">
      <alignment vertical="center" wrapText="1"/>
      <protection locked="0"/>
    </xf>
    <xf numFmtId="3" fontId="15" fillId="0" borderId="8" xfId="5" applyNumberFormat="1" applyFont="1" applyBorder="1" applyAlignment="1" applyProtection="1">
      <alignment horizontal="left" vertical="center" wrapText="1"/>
      <protection locked="0"/>
    </xf>
    <xf numFmtId="3" fontId="15" fillId="0" borderId="8" xfId="5" applyNumberFormat="1" applyFont="1" applyBorder="1" applyAlignment="1" applyProtection="1">
      <alignment horizontal="center" vertical="center" wrapText="1"/>
      <protection locked="0"/>
    </xf>
    <xf numFmtId="0" fontId="18" fillId="0" borderId="19" xfId="3" applyFont="1" applyBorder="1" applyAlignment="1" applyProtection="1">
      <alignment horizontal="left" vertical="center" wrapText="1"/>
      <protection locked="0"/>
    </xf>
    <xf numFmtId="0" fontId="7" fillId="0" borderId="8" xfId="3" applyFont="1" applyBorder="1" applyAlignment="1" applyProtection="1">
      <alignment horizontal="left" vertical="center" wrapText="1"/>
      <protection locked="0"/>
    </xf>
    <xf numFmtId="0" fontId="7" fillId="0" borderId="8" xfId="3" applyFont="1" applyBorder="1" applyAlignment="1" applyProtection="1">
      <alignment horizontal="center" vertical="center" wrapText="1"/>
      <protection locked="0"/>
    </xf>
    <xf numFmtId="0" fontId="7" fillId="0" borderId="37" xfId="3" applyFont="1" applyBorder="1" applyAlignment="1" applyProtection="1">
      <alignment horizontal="left" vertical="center" wrapText="1"/>
      <protection locked="0"/>
    </xf>
    <xf numFmtId="0" fontId="7" fillId="0" borderId="37" xfId="3" applyFont="1" applyBorder="1" applyAlignment="1" applyProtection="1">
      <alignment horizontal="center" vertical="center" wrapText="1"/>
      <protection locked="0"/>
    </xf>
    <xf numFmtId="0" fontId="7" fillId="0" borderId="45" xfId="3" applyFont="1" applyBorder="1" applyAlignment="1" applyProtection="1">
      <alignment horizontal="left" vertical="center" wrapText="1"/>
      <protection locked="0"/>
    </xf>
    <xf numFmtId="0" fontId="15" fillId="0" borderId="18" xfId="3" applyFont="1" applyBorder="1" applyAlignment="1" applyProtection="1">
      <alignment horizontal="left" vertical="center" wrapText="1"/>
      <protection locked="0"/>
    </xf>
    <xf numFmtId="0" fontId="7" fillId="0" borderId="18" xfId="3" applyFont="1" applyBorder="1" applyAlignment="1" applyProtection="1">
      <alignment horizontal="center" vertical="center" wrapText="1"/>
      <protection locked="0"/>
    </xf>
    <xf numFmtId="0" fontId="7" fillId="0" borderId="11" xfId="3" applyFont="1" applyBorder="1" applyAlignment="1" applyProtection="1">
      <alignment horizontal="center" vertical="center" wrapText="1"/>
      <protection locked="0"/>
    </xf>
    <xf numFmtId="0" fontId="18" fillId="0" borderId="8" xfId="3" applyFont="1" applyBorder="1" applyAlignment="1" applyProtection="1">
      <alignment horizontal="left" vertical="center" wrapText="1"/>
      <protection locked="0"/>
    </xf>
    <xf numFmtId="0" fontId="18" fillId="0" borderId="8" xfId="3" applyFont="1" applyBorder="1" applyAlignment="1" applyProtection="1">
      <alignment horizontal="center" vertical="center" wrapText="1"/>
      <protection locked="0"/>
    </xf>
    <xf numFmtId="0" fontId="18" fillId="0" borderId="8" xfId="3" applyFont="1" applyBorder="1" applyAlignment="1" applyProtection="1">
      <alignment horizontal="center" vertical="center"/>
      <protection locked="0"/>
    </xf>
    <xf numFmtId="164" fontId="18" fillId="0" borderId="19" xfId="3" applyNumberFormat="1" applyFont="1" applyBorder="1" applyAlignment="1" applyProtection="1">
      <alignment vertical="center" wrapText="1"/>
      <protection locked="0"/>
    </xf>
    <xf numFmtId="164" fontId="18" fillId="0" borderId="8" xfId="3" applyNumberFormat="1" applyFont="1" applyBorder="1" applyAlignment="1" applyProtection="1">
      <alignment horizontal="left" vertical="center" wrapText="1"/>
      <protection locked="0"/>
    </xf>
    <xf numFmtId="164" fontId="15" fillId="0" borderId="19" xfId="3" applyNumberFormat="1" applyFont="1" applyBorder="1" applyAlignment="1" applyProtection="1">
      <alignment horizontal="left" vertical="center" wrapText="1"/>
      <protection locked="0"/>
    </xf>
    <xf numFmtId="164" fontId="7" fillId="0" borderId="19" xfId="3" applyNumberFormat="1" applyFont="1" applyBorder="1" applyAlignment="1" applyProtection="1">
      <alignment horizontal="left" vertical="center" wrapText="1"/>
      <protection locked="0"/>
    </xf>
    <xf numFmtId="165" fontId="15" fillId="0" borderId="8" xfId="0" applyNumberFormat="1" applyFont="1" applyBorder="1" applyAlignment="1" applyProtection="1">
      <alignment horizontal="left" wrapText="1"/>
      <protection locked="0"/>
    </xf>
    <xf numFmtId="164" fontId="16" fillId="0" borderId="8" xfId="3" applyNumberFormat="1" applyFont="1" applyBorder="1" applyAlignment="1" applyProtection="1">
      <alignment horizontal="center" vertical="center" wrapText="1"/>
      <protection locked="0"/>
    </xf>
    <xf numFmtId="164" fontId="16" fillId="0" borderId="8" xfId="3" applyNumberFormat="1" applyFont="1" applyBorder="1" applyAlignment="1" applyProtection="1">
      <alignment horizontal="left" vertical="center" wrapText="1"/>
      <protection locked="0"/>
    </xf>
    <xf numFmtId="164" fontId="15" fillId="0" borderId="48" xfId="3" applyNumberFormat="1" applyFont="1" applyBorder="1" applyAlignment="1" applyProtection="1">
      <alignment vertical="center" wrapText="1"/>
      <protection locked="0"/>
    </xf>
    <xf numFmtId="164" fontId="43" fillId="0" borderId="8" xfId="3" applyNumberFormat="1" applyFont="1" applyBorder="1" applyAlignment="1" applyProtection="1">
      <alignment horizontal="left" vertical="center" wrapText="1"/>
      <protection locked="0"/>
    </xf>
    <xf numFmtId="0" fontId="15" fillId="0" borderId="15" xfId="3" applyFont="1" applyBorder="1" applyAlignment="1" applyProtection="1">
      <alignment horizontal="left" vertical="center" wrapText="1"/>
      <protection locked="0"/>
    </xf>
    <xf numFmtId="0" fontId="15" fillId="0" borderId="15" xfId="3" applyFont="1" applyBorder="1" applyAlignment="1" applyProtection="1">
      <alignment horizontal="center" vertical="center"/>
      <protection locked="0"/>
    </xf>
    <xf numFmtId="0" fontId="15" fillId="0" borderId="17" xfId="3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1" xfId="0" applyFont="1" applyBorder="1" applyAlignment="1" applyProtection="1">
      <alignment wrapText="1"/>
      <protection locked="0"/>
    </xf>
    <xf numFmtId="0" fontId="15" fillId="0" borderId="53" xfId="0" applyFont="1" applyBorder="1" applyAlignment="1" applyProtection="1">
      <alignment horizontal="center" wrapText="1"/>
      <protection locked="0"/>
    </xf>
    <xf numFmtId="0" fontId="15" fillId="0" borderId="8" xfId="11" applyFont="1" applyBorder="1" applyAlignment="1" applyProtection="1">
      <alignment horizontal="left" vertical="center" wrapText="1"/>
      <protection locked="0"/>
    </xf>
    <xf numFmtId="0" fontId="15" fillId="0" borderId="8" xfId="11" applyFont="1" applyBorder="1" applyAlignment="1" applyProtection="1">
      <alignment horizontal="left" vertical="center"/>
      <protection locked="0"/>
    </xf>
    <xf numFmtId="0" fontId="15" fillId="0" borderId="8" xfId="11" applyFont="1" applyBorder="1" applyAlignment="1" applyProtection="1">
      <alignment horizontal="center" vertical="center"/>
      <protection locked="0"/>
    </xf>
    <xf numFmtId="49" fontId="15" fillId="0" borderId="19" xfId="11" applyNumberFormat="1" applyFont="1" applyBorder="1" applyAlignment="1" applyProtection="1">
      <alignment horizontal="left" vertical="center"/>
      <protection locked="0"/>
    </xf>
    <xf numFmtId="0" fontId="15" fillId="0" borderId="8" xfId="11" applyFont="1" applyBorder="1" applyAlignment="1" applyProtection="1">
      <alignment vertical="center" wrapText="1"/>
      <protection locked="0"/>
    </xf>
    <xf numFmtId="0" fontId="15" fillId="0" borderId="8" xfId="3" applyFont="1" applyBorder="1" applyAlignment="1" applyProtection="1">
      <alignment horizontal="left" wrapText="1"/>
      <protection locked="0"/>
    </xf>
    <xf numFmtId="164" fontId="16" fillId="0" borderId="8" xfId="3" applyNumberFormat="1" applyFont="1" applyBorder="1" applyAlignment="1" applyProtection="1">
      <alignment horizontal="center" vertical="center"/>
      <protection locked="0"/>
    </xf>
    <xf numFmtId="0" fontId="15" fillId="0" borderId="45" xfId="11" applyFont="1" applyBorder="1" applyAlignment="1" applyProtection="1">
      <alignment horizontal="left" vertical="center" wrapText="1"/>
      <protection locked="0"/>
    </xf>
    <xf numFmtId="0" fontId="15" fillId="0" borderId="19" xfId="11" applyFont="1" applyBorder="1" applyAlignment="1" applyProtection="1">
      <alignment horizontal="center" vertical="center"/>
      <protection locked="0"/>
    </xf>
    <xf numFmtId="4" fontId="15" fillId="0" borderId="45" xfId="3" applyNumberFormat="1" applyFont="1" applyBorder="1" applyAlignment="1" applyProtection="1">
      <alignment wrapText="1"/>
      <protection locked="0"/>
    </xf>
    <xf numFmtId="0" fontId="15" fillId="0" borderId="8" xfId="12" applyFont="1" applyBorder="1" applyAlignment="1" applyProtection="1">
      <alignment horizontal="left" vertical="center" wrapText="1"/>
      <protection locked="0"/>
    </xf>
    <xf numFmtId="0" fontId="15" fillId="0" borderId="8" xfId="3" applyFont="1" applyBorder="1" applyAlignment="1" applyProtection="1">
      <alignment horizontal="center"/>
      <protection locked="0"/>
    </xf>
    <xf numFmtId="3" fontId="15" fillId="0" borderId="8" xfId="13" applyNumberFormat="1" applyFont="1" applyBorder="1" applyAlignment="1" applyProtection="1">
      <alignment horizontal="left" vertical="center" wrapText="1"/>
      <protection locked="0"/>
    </xf>
    <xf numFmtId="164" fontId="15" fillId="0" borderId="8" xfId="3" applyNumberFormat="1" applyFont="1" applyBorder="1" applyAlignment="1" applyProtection="1">
      <alignment vertical="center" wrapText="1"/>
      <protection locked="0"/>
    </xf>
    <xf numFmtId="0" fontId="15" fillId="0" borderId="8" xfId="13" applyFont="1" applyBorder="1" applyAlignment="1" applyProtection="1">
      <alignment horizontal="center" vertical="center" wrapText="1"/>
      <protection locked="0"/>
    </xf>
    <xf numFmtId="164" fontId="15" fillId="0" borderId="8" xfId="3" applyNumberFormat="1" applyFont="1" applyBorder="1" applyAlignment="1" applyProtection="1">
      <alignment horizontal="center" vertical="center" wrapText="1"/>
      <protection locked="0"/>
    </xf>
    <xf numFmtId="164" fontId="15" fillId="0" borderId="15" xfId="3" applyNumberFormat="1" applyFont="1" applyBorder="1" applyAlignment="1" applyProtection="1">
      <alignment vertical="center" wrapText="1"/>
      <protection locked="0"/>
    </xf>
    <xf numFmtId="0" fontId="15" fillId="0" borderId="15" xfId="3" applyFont="1" applyBorder="1" applyAlignment="1" applyProtection="1">
      <alignment horizontal="center"/>
      <protection locked="0"/>
    </xf>
    <xf numFmtId="164" fontId="15" fillId="0" borderId="11" xfId="3" applyNumberFormat="1" applyFont="1" applyBorder="1" applyAlignment="1" applyProtection="1">
      <alignment vertical="center" wrapText="1"/>
      <protection locked="0"/>
    </xf>
    <xf numFmtId="3" fontId="15" fillId="0" borderId="11" xfId="5" applyNumberFormat="1" applyFont="1" applyBorder="1" applyAlignment="1" applyProtection="1">
      <alignment horizontal="left" vertical="center" wrapText="1"/>
      <protection locked="0"/>
    </xf>
    <xf numFmtId="0" fontId="15" fillId="0" borderId="8" xfId="5" applyFont="1" applyBorder="1" applyAlignment="1" applyProtection="1">
      <alignment horizontal="left" vertical="center" wrapText="1"/>
      <protection locked="0"/>
    </xf>
    <xf numFmtId="0" fontId="15" fillId="0" borderId="8" xfId="5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wrapText="1"/>
      <protection locked="0"/>
    </xf>
    <xf numFmtId="0" fontId="12" fillId="0" borderId="8" xfId="0" applyFont="1" applyBorder="1" applyAlignment="1" applyProtection="1">
      <alignment horizontal="left" wrapText="1"/>
      <protection locked="0"/>
    </xf>
    <xf numFmtId="0" fontId="12" fillId="0" borderId="8" xfId="0" applyFont="1" applyBorder="1" applyAlignment="1" applyProtection="1">
      <alignment horizontal="center" wrapText="1"/>
      <protection locked="0"/>
    </xf>
    <xf numFmtId="165" fontId="18" fillId="0" borderId="8" xfId="0" applyNumberFormat="1" applyFont="1" applyBorder="1" applyAlignment="1" applyProtection="1">
      <alignment horizontal="center" wrapText="1"/>
      <protection locked="0"/>
    </xf>
    <xf numFmtId="3" fontId="18" fillId="0" borderId="8" xfId="0" applyNumberFormat="1" applyFont="1" applyBorder="1" applyAlignment="1" applyProtection="1">
      <alignment horizontal="center" wrapText="1"/>
      <protection locked="0"/>
    </xf>
    <xf numFmtId="0" fontId="15" fillId="0" borderId="15" xfId="3" applyFont="1" applyBorder="1" applyAlignment="1">
      <alignment horizontal="right" vertical="center" wrapText="1"/>
    </xf>
    <xf numFmtId="0" fontId="15" fillId="0" borderId="15" xfId="3" applyFont="1" applyBorder="1" applyAlignment="1">
      <alignment horizontal="right" wrapText="1"/>
    </xf>
    <xf numFmtId="0" fontId="10" fillId="0" borderId="57" xfId="0" applyFont="1" applyBorder="1" applyAlignment="1">
      <alignment wrapText="1"/>
    </xf>
    <xf numFmtId="0" fontId="0" fillId="0" borderId="15" xfId="0" applyBorder="1" applyAlignment="1">
      <alignment horizontal="center"/>
    </xf>
    <xf numFmtId="49" fontId="12" fillId="0" borderId="58" xfId="0" applyNumberFormat="1" applyFont="1" applyBorder="1" applyAlignment="1">
      <alignment horizontal="center" wrapText="1"/>
    </xf>
    <xf numFmtId="3" fontId="8" fillId="29" borderId="8" xfId="0" applyNumberFormat="1" applyFont="1" applyFill="1" applyBorder="1" applyAlignment="1">
      <alignment horizontal="center" vertical="center" wrapText="1"/>
    </xf>
    <xf numFmtId="3" fontId="46" fillId="29" borderId="11" xfId="0" applyNumberFormat="1" applyFont="1" applyFill="1" applyBorder="1" applyAlignment="1">
      <alignment horizontal="center" vertical="center" wrapText="1"/>
    </xf>
    <xf numFmtId="3" fontId="8" fillId="29" borderId="19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15" fillId="0" borderId="15" xfId="3" applyNumberFormat="1" applyFont="1" applyBorder="1" applyAlignment="1">
      <alignment horizontal="center" vertical="center" wrapText="1"/>
    </xf>
    <xf numFmtId="164" fontId="15" fillId="0" borderId="18" xfId="3" applyNumberFormat="1" applyFont="1" applyBorder="1" applyAlignment="1">
      <alignment horizontal="center" vertical="center" wrapText="1"/>
    </xf>
    <xf numFmtId="164" fontId="15" fillId="0" borderId="11" xfId="3" applyNumberFormat="1" applyFont="1" applyBorder="1" applyAlignment="1">
      <alignment horizontal="center" vertical="center" wrapText="1"/>
    </xf>
    <xf numFmtId="164" fontId="15" fillId="0" borderId="8" xfId="11" applyNumberFormat="1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5" fillId="0" borderId="53" xfId="0" applyFont="1" applyBorder="1"/>
    <xf numFmtId="0" fontId="6" fillId="0" borderId="8" xfId="8" applyFont="1" applyBorder="1" applyAlignment="1" applyProtection="1">
      <alignment vertical="center" wrapText="1"/>
      <protection locked="0"/>
    </xf>
    <xf numFmtId="0" fontId="15" fillId="2" borderId="8" xfId="11" applyFont="1" applyFill="1" applyBorder="1" applyAlignment="1">
      <alignment horizontal="left" vertical="center"/>
    </xf>
    <xf numFmtId="0" fontId="15" fillId="2" borderId="8" xfId="11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vertical="center"/>
    </xf>
    <xf numFmtId="164" fontId="15" fillId="0" borderId="15" xfId="3" applyNumberFormat="1" applyFont="1" applyBorder="1" applyAlignment="1" applyProtection="1">
      <alignment horizontal="left" vertical="center" wrapText="1"/>
      <protection locked="0"/>
    </xf>
    <xf numFmtId="0" fontId="5" fillId="0" borderId="8" xfId="16" applyFont="1" applyFill="1" applyBorder="1" applyAlignment="1" applyProtection="1">
      <alignment vertical="center" wrapText="1"/>
    </xf>
    <xf numFmtId="165" fontId="15" fillId="0" borderId="8" xfId="0" applyNumberFormat="1" applyFont="1" applyBorder="1" applyAlignment="1">
      <alignment horizontal="left" vertical="center" wrapText="1"/>
    </xf>
    <xf numFmtId="0" fontId="15" fillId="0" borderId="8" xfId="3" applyFont="1" applyBorder="1" applyAlignment="1">
      <alignment horizontal="left" vertical="center"/>
    </xf>
    <xf numFmtId="0" fontId="15" fillId="0" borderId="8" xfId="11" applyFont="1" applyBorder="1" applyProtection="1">
      <protection locked="0"/>
    </xf>
    <xf numFmtId="4" fontId="15" fillId="2" borderId="8" xfId="3" applyNumberFormat="1" applyFont="1" applyFill="1" applyBorder="1" applyAlignment="1">
      <alignment wrapText="1"/>
    </xf>
    <xf numFmtId="0" fontId="10" fillId="0" borderId="8" xfId="0" applyFont="1" applyBorder="1" applyAlignment="1">
      <alignment wrapText="1"/>
    </xf>
    <xf numFmtId="0" fontId="12" fillId="0" borderId="58" xfId="0" applyFont="1" applyBorder="1" applyAlignment="1">
      <alignment horizontal="center"/>
    </xf>
    <xf numFmtId="0" fontId="15" fillId="0" borderId="40" xfId="14" applyFont="1" applyBorder="1" applyProtection="1">
      <protection locked="0"/>
    </xf>
    <xf numFmtId="0" fontId="15" fillId="2" borderId="8" xfId="14" applyFont="1" applyFill="1" applyBorder="1" applyAlignment="1">
      <alignment horizontal="center" vertical="center"/>
    </xf>
    <xf numFmtId="0" fontId="45" fillId="0" borderId="8" xfId="0" applyFont="1" applyBorder="1" applyAlignment="1" applyProtection="1">
      <alignment wrapText="1"/>
      <protection locked="0"/>
    </xf>
    <xf numFmtId="0" fontId="4" fillId="2" borderId="8" xfId="8" applyFont="1" applyFill="1" applyBorder="1" applyAlignment="1">
      <alignment horizontal="center" vertical="center"/>
    </xf>
    <xf numFmtId="0" fontId="15" fillId="0" borderId="45" xfId="0" applyFont="1" applyBorder="1" applyAlignment="1">
      <alignment horizontal="center"/>
    </xf>
    <xf numFmtId="164" fontId="15" fillId="2" borderId="8" xfId="0" applyNumberFormat="1" applyFont="1" applyFill="1" applyBorder="1" applyAlignment="1">
      <alignment horizontal="center"/>
    </xf>
    <xf numFmtId="164" fontId="15" fillId="2" borderId="18" xfId="0" applyNumberFormat="1" applyFont="1" applyFill="1" applyBorder="1" applyAlignment="1">
      <alignment horizontal="center" wrapText="1"/>
    </xf>
    <xf numFmtId="164" fontId="15" fillId="2" borderId="8" xfId="3" applyNumberFormat="1" applyFont="1" applyFill="1" applyBorder="1" applyAlignment="1">
      <alignment wrapText="1"/>
    </xf>
    <xf numFmtId="0" fontId="18" fillId="2" borderId="8" xfId="0" applyFont="1" applyFill="1" applyBorder="1" applyAlignment="1">
      <alignment wrapText="1"/>
    </xf>
    <xf numFmtId="164" fontId="18" fillId="21" borderId="8" xfId="3" applyNumberFormat="1" applyFont="1" applyFill="1" applyBorder="1" applyAlignment="1">
      <alignment horizontal="center" vertical="center" wrapText="1"/>
    </xf>
    <xf numFmtId="164" fontId="4" fillId="2" borderId="8" xfId="3" applyNumberFormat="1" applyFont="1" applyFill="1" applyBorder="1" applyAlignment="1">
      <alignment horizontal="left" vertical="center" wrapText="1"/>
    </xf>
    <xf numFmtId="164" fontId="15" fillId="2" borderId="8" xfId="3" applyNumberFormat="1" applyFont="1" applyFill="1" applyBorder="1" applyAlignment="1">
      <alignment vertical="center" wrapText="1"/>
    </xf>
    <xf numFmtId="164" fontId="18" fillId="2" borderId="8" xfId="3" applyNumberFormat="1" applyFont="1" applyFill="1" applyBorder="1" applyAlignment="1">
      <alignment vertical="center" wrapText="1"/>
    </xf>
    <xf numFmtId="49" fontId="18" fillId="2" borderId="8" xfId="3" applyNumberFormat="1" applyFont="1" applyFill="1" applyBorder="1" applyAlignment="1">
      <alignment horizontal="center" vertical="center" wrapText="1"/>
    </xf>
    <xf numFmtId="0" fontId="3" fillId="0" borderId="8" xfId="8" applyFont="1" applyBorder="1" applyAlignment="1" applyProtection="1">
      <alignment vertical="center" wrapText="1"/>
      <protection locked="0"/>
    </xf>
    <xf numFmtId="0" fontId="3" fillId="2" borderId="8" xfId="8" applyFont="1" applyFill="1" applyBorder="1" applyAlignment="1" applyProtection="1">
      <alignment vertical="center" wrapText="1"/>
      <protection locked="0"/>
    </xf>
    <xf numFmtId="164" fontId="43" fillId="2" borderId="8" xfId="3" applyNumberFormat="1" applyFont="1" applyFill="1" applyBorder="1" applyAlignment="1">
      <alignment horizontal="left" vertical="center" wrapText="1"/>
    </xf>
    <xf numFmtId="164" fontId="15" fillId="2" borderId="8" xfId="3" applyNumberFormat="1" applyFont="1" applyFill="1" applyBorder="1" applyAlignment="1">
      <alignment horizontal="left" vertical="center" wrapText="1"/>
    </xf>
    <xf numFmtId="0" fontId="18" fillId="2" borderId="8" xfId="0" applyFont="1" applyFill="1" applyBorder="1" applyAlignment="1">
      <alignment horizontal="left" wrapText="1"/>
    </xf>
    <xf numFmtId="0" fontId="18" fillId="2" borderId="8" xfId="0" applyFont="1" applyFill="1" applyBorder="1" applyAlignment="1">
      <alignment horizontal="center"/>
    </xf>
    <xf numFmtId="0" fontId="18" fillId="14" borderId="8" xfId="0" applyFont="1" applyFill="1" applyBorder="1" applyProtection="1">
      <protection locked="0"/>
    </xf>
    <xf numFmtId="0" fontId="2" fillId="0" borderId="8" xfId="8" applyFont="1" applyBorder="1" applyAlignment="1" applyProtection="1">
      <alignment vertical="center" wrapText="1"/>
      <protection locked="0"/>
    </xf>
    <xf numFmtId="0" fontId="2" fillId="2" borderId="8" xfId="8" applyFont="1" applyFill="1" applyBorder="1" applyAlignment="1">
      <alignment horizontal="center" vertical="center"/>
    </xf>
    <xf numFmtId="0" fontId="2" fillId="0" borderId="8" xfId="8" applyFont="1" applyBorder="1" applyAlignment="1">
      <alignment horizontal="center" vertical="center"/>
    </xf>
    <xf numFmtId="0" fontId="2" fillId="2" borderId="15" xfId="8" applyFont="1" applyFill="1" applyBorder="1" applyAlignment="1">
      <alignment horizontal="center" vertical="center"/>
    </xf>
    <xf numFmtId="0" fontId="2" fillId="0" borderId="15" xfId="8" applyFont="1" applyBorder="1" applyAlignment="1">
      <alignment horizontal="center"/>
    </xf>
    <xf numFmtId="0" fontId="16" fillId="11" borderId="15" xfId="3" applyFont="1" applyFill="1" applyBorder="1" applyAlignment="1">
      <alignment horizontal="center" vertical="center" wrapText="1"/>
    </xf>
    <xf numFmtId="0" fontId="2" fillId="0" borderId="8" xfId="8" applyFont="1" applyBorder="1" applyAlignment="1" applyProtection="1">
      <alignment horizontal="left" vertical="center" wrapText="1"/>
      <protection locked="0"/>
    </xf>
    <xf numFmtId="0" fontId="18" fillId="2" borderId="15" xfId="0" applyFont="1" applyFill="1" applyBorder="1" applyAlignment="1">
      <alignment vertical="center" wrapText="1"/>
    </xf>
    <xf numFmtId="0" fontId="15" fillId="2" borderId="15" xfId="0" applyFont="1" applyFill="1" applyBorder="1" applyAlignment="1">
      <alignment horizontal="center" wrapText="1"/>
    </xf>
    <xf numFmtId="0" fontId="15" fillId="2" borderId="11" xfId="0" applyFont="1" applyFill="1" applyBorder="1" applyAlignment="1">
      <alignment vertical="center" wrapText="1"/>
    </xf>
    <xf numFmtId="0" fontId="15" fillId="4" borderId="11" xfId="0" applyFont="1" applyFill="1" applyBorder="1" applyAlignment="1">
      <alignment horizontal="center" vertical="center" wrapText="1"/>
    </xf>
    <xf numFmtId="164" fontId="15" fillId="0" borderId="8" xfId="3" applyNumberFormat="1" applyFont="1" applyBorder="1" applyAlignment="1">
      <alignment horizontal="left" vertical="center" wrapText="1"/>
    </xf>
    <xf numFmtId="165" fontId="15" fillId="10" borderId="8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3" applyFont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6" fillId="22" borderId="54" xfId="0" applyFont="1" applyFill="1" applyBorder="1" applyAlignment="1">
      <alignment horizontal="center" vertical="center" wrapText="1"/>
    </xf>
    <xf numFmtId="0" fontId="16" fillId="22" borderId="55" xfId="0" applyFont="1" applyFill="1" applyBorder="1" applyAlignment="1">
      <alignment horizontal="center" vertical="center" wrapText="1"/>
    </xf>
    <xf numFmtId="0" fontId="16" fillId="22" borderId="56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textRotation="90" wrapText="1"/>
    </xf>
    <xf numFmtId="0" fontId="15" fillId="0" borderId="12" xfId="0" applyFont="1" applyBorder="1" applyAlignment="1">
      <alignment horizontal="center" vertical="center" textRotation="90" wrapText="1"/>
    </xf>
    <xf numFmtId="0" fontId="15" fillId="0" borderId="5" xfId="0" applyFont="1" applyBorder="1" applyAlignment="1">
      <alignment horizontal="center" vertical="center" textRotation="90" wrapText="1"/>
    </xf>
    <xf numFmtId="0" fontId="15" fillId="0" borderId="13" xfId="0" applyFont="1" applyBorder="1" applyAlignment="1">
      <alignment horizontal="center" vertical="center" textRotation="90" wrapText="1"/>
    </xf>
    <xf numFmtId="0" fontId="15" fillId="0" borderId="23" xfId="0" applyFont="1" applyBorder="1" applyAlignment="1">
      <alignment vertical="center" wrapText="1"/>
    </xf>
    <xf numFmtId="0" fontId="15" fillId="0" borderId="26" xfId="0" applyFont="1" applyBorder="1" applyAlignment="1">
      <alignment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textRotation="90" wrapText="1"/>
    </xf>
    <xf numFmtId="0" fontId="15" fillId="3" borderId="28" xfId="0" applyFont="1" applyFill="1" applyBorder="1" applyAlignment="1">
      <alignment horizontal="center" vertical="center" textRotation="90" wrapText="1"/>
    </xf>
    <xf numFmtId="3" fontId="15" fillId="0" borderId="5" xfId="0" applyNumberFormat="1" applyFont="1" applyBorder="1" applyAlignment="1">
      <alignment horizontal="center" vertical="center" textRotation="90" wrapText="1"/>
    </xf>
    <xf numFmtId="3" fontId="15" fillId="0" borderId="13" xfId="0" applyNumberFormat="1" applyFont="1" applyBorder="1" applyAlignment="1">
      <alignment horizontal="center" vertical="center" textRotation="90" wrapText="1"/>
    </xf>
    <xf numFmtId="0" fontId="15" fillId="2" borderId="0" xfId="0" applyFont="1" applyFill="1" applyAlignment="1" applyProtection="1">
      <alignment horizontal="left" wrapText="1"/>
      <protection locked="0"/>
    </xf>
    <xf numFmtId="0" fontId="15" fillId="0" borderId="15" xfId="3" applyFont="1" applyBorder="1" applyAlignment="1">
      <alignment horizontal="left" vertical="center" wrapText="1"/>
    </xf>
    <xf numFmtId="0" fontId="15" fillId="0" borderId="21" xfId="3" applyFont="1" applyBorder="1" applyAlignment="1">
      <alignment horizontal="left" vertical="center" wrapText="1"/>
    </xf>
    <xf numFmtId="0" fontId="15" fillId="0" borderId="11" xfId="3" applyFont="1" applyBorder="1" applyAlignment="1">
      <alignment horizontal="left" vertical="center" wrapText="1"/>
    </xf>
    <xf numFmtId="164" fontId="15" fillId="9" borderId="15" xfId="3" applyNumberFormat="1" applyFont="1" applyFill="1" applyBorder="1" applyAlignment="1">
      <alignment horizontal="left" vertical="center" wrapText="1"/>
    </xf>
    <xf numFmtId="164" fontId="15" fillId="9" borderId="21" xfId="3" applyNumberFormat="1" applyFont="1" applyFill="1" applyBorder="1" applyAlignment="1">
      <alignment horizontal="left" vertical="center" wrapText="1"/>
    </xf>
    <xf numFmtId="164" fontId="15" fillId="9" borderId="11" xfId="3" applyNumberFormat="1" applyFont="1" applyFill="1" applyBorder="1" applyAlignment="1">
      <alignment horizontal="left" vertical="center" wrapText="1"/>
    </xf>
    <xf numFmtId="0" fontId="15" fillId="2" borderId="15" xfId="3" applyFont="1" applyFill="1" applyBorder="1" applyAlignment="1">
      <alignment horizontal="left" vertical="center" wrapText="1"/>
    </xf>
    <xf numFmtId="0" fontId="15" fillId="2" borderId="21" xfId="3" applyFont="1" applyFill="1" applyBorder="1" applyAlignment="1">
      <alignment horizontal="left" vertical="center" wrapText="1"/>
    </xf>
    <xf numFmtId="0" fontId="15" fillId="2" borderId="11" xfId="3" applyFont="1" applyFill="1" applyBorder="1" applyAlignment="1">
      <alignment horizontal="left" vertical="center" wrapText="1"/>
    </xf>
    <xf numFmtId="0" fontId="18" fillId="0" borderId="37" xfId="3" applyFont="1" applyBorder="1" applyAlignment="1">
      <alignment horizontal="left" vertical="center" wrapText="1"/>
    </xf>
    <xf numFmtId="0" fontId="18" fillId="0" borderId="30" xfId="3" applyFont="1" applyBorder="1" applyAlignment="1">
      <alignment horizontal="left" vertical="center" wrapText="1"/>
    </xf>
    <xf numFmtId="0" fontId="18" fillId="0" borderId="15" xfId="3" applyFont="1" applyBorder="1" applyAlignment="1">
      <alignment horizontal="left" vertical="center" wrapText="1"/>
    </xf>
    <xf numFmtId="0" fontId="18" fillId="0" borderId="21" xfId="3" applyFont="1" applyBorder="1" applyAlignment="1">
      <alignment horizontal="left" vertical="center" wrapText="1"/>
    </xf>
    <xf numFmtId="0" fontId="18" fillId="0" borderId="11" xfId="3" applyFont="1" applyBorder="1" applyAlignment="1">
      <alignment horizontal="left" vertical="center" wrapText="1"/>
    </xf>
    <xf numFmtId="0" fontId="18" fillId="0" borderId="37" xfId="3" applyFont="1" applyBorder="1" applyAlignment="1">
      <alignment horizontal="right" vertical="center" wrapText="1"/>
    </xf>
    <xf numFmtId="0" fontId="18" fillId="0" borderId="30" xfId="3" applyFont="1" applyBorder="1" applyAlignment="1">
      <alignment horizontal="right" vertical="center" wrapText="1"/>
    </xf>
    <xf numFmtId="0" fontId="18" fillId="0" borderId="15" xfId="0" applyFont="1" applyBorder="1" applyAlignment="1">
      <alignment horizontal="left" vertical="center" wrapText="1"/>
    </xf>
    <xf numFmtId="0" fontId="15" fillId="0" borderId="21" xfId="0" applyFont="1" applyBorder="1" applyAlignment="1">
      <alignment horizontal="left" vertical="center" wrapText="1"/>
    </xf>
    <xf numFmtId="0" fontId="15" fillId="0" borderId="39" xfId="0" applyFont="1" applyBorder="1" applyAlignment="1">
      <alignment horizontal="left" vertical="center" wrapText="1"/>
    </xf>
    <xf numFmtId="0" fontId="15" fillId="0" borderId="40" xfId="0" applyFont="1" applyBorder="1" applyAlignment="1">
      <alignment horizontal="left" vertical="center" wrapText="1"/>
    </xf>
    <xf numFmtId="0" fontId="15" fillId="9" borderId="15" xfId="0" applyFont="1" applyFill="1" applyBorder="1" applyAlignment="1">
      <alignment horizontal="left" vertical="center" wrapText="1"/>
    </xf>
    <xf numFmtId="0" fontId="15" fillId="9" borderId="21" xfId="0" applyFont="1" applyFill="1" applyBorder="1" applyAlignment="1">
      <alignment horizontal="left" vertical="center" wrapText="1"/>
    </xf>
    <xf numFmtId="0" fontId="15" fillId="9" borderId="11" xfId="0" applyFont="1" applyFill="1" applyBorder="1" applyAlignment="1">
      <alignment horizontal="left" vertical="center" wrapText="1"/>
    </xf>
    <xf numFmtId="0" fontId="18" fillId="9" borderId="15" xfId="0" applyFont="1" applyFill="1" applyBorder="1" applyAlignment="1">
      <alignment horizontal="left" vertical="center" wrapText="1"/>
    </xf>
    <xf numFmtId="0" fontId="15" fillId="0" borderId="21" xfId="11" applyFont="1" applyBorder="1" applyAlignment="1">
      <alignment horizontal="left" vertical="center" wrapText="1"/>
    </xf>
    <xf numFmtId="0" fontId="15" fillId="0" borderId="11" xfId="11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164" fontId="18" fillId="0" borderId="30" xfId="10" applyNumberFormat="1" applyFont="1" applyBorder="1" applyAlignment="1">
      <alignment horizontal="left" vertical="center" wrapText="1"/>
    </xf>
    <xf numFmtId="164" fontId="18" fillId="0" borderId="18" xfId="10" applyNumberFormat="1" applyFont="1" applyBorder="1" applyAlignment="1">
      <alignment horizontal="left" vertical="center" wrapText="1"/>
    </xf>
    <xf numFmtId="0" fontId="15" fillId="0" borderId="39" xfId="0" applyFont="1" applyBorder="1" applyAlignment="1">
      <alignment vertical="center" wrapText="1"/>
    </xf>
    <xf numFmtId="0" fontId="15" fillId="0" borderId="40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/>
    </xf>
    <xf numFmtId="164" fontId="15" fillId="0" borderId="15" xfId="10" applyNumberFormat="1" applyFont="1" applyBorder="1" applyAlignment="1">
      <alignment horizontal="left" vertical="center" wrapText="1"/>
    </xf>
    <xf numFmtId="164" fontId="15" fillId="0" borderId="11" xfId="10" applyNumberFormat="1" applyFont="1" applyBorder="1" applyAlignment="1">
      <alignment horizontal="left" vertical="center" wrapText="1"/>
    </xf>
    <xf numFmtId="0" fontId="18" fillId="0" borderId="49" xfId="0" applyFont="1" applyBorder="1" applyAlignment="1">
      <alignment horizontal="left" vertical="center" wrapText="1"/>
    </xf>
    <xf numFmtId="0" fontId="15" fillId="0" borderId="50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5" fillId="0" borderId="37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wrapText="1"/>
    </xf>
    <xf numFmtId="0" fontId="15" fillId="0" borderId="21" xfId="0" applyFont="1" applyBorder="1" applyAlignment="1">
      <alignment horizontal="left" wrapText="1"/>
    </xf>
    <xf numFmtId="0" fontId="15" fillId="0" borderId="11" xfId="0" applyFont="1" applyBorder="1" applyAlignment="1">
      <alignment horizontal="left" wrapText="1"/>
    </xf>
    <xf numFmtId="0" fontId="18" fillId="0" borderId="8" xfId="0" applyFont="1" applyBorder="1" applyAlignment="1">
      <alignment horizontal="left" wrapText="1"/>
    </xf>
    <xf numFmtId="0" fontId="15" fillId="0" borderId="35" xfId="0" applyFont="1" applyBorder="1" applyAlignment="1">
      <alignment horizontal="left" vertical="center" wrapText="1"/>
    </xf>
    <xf numFmtId="0" fontId="15" fillId="0" borderId="41" xfId="0" applyFont="1" applyBorder="1" applyAlignment="1">
      <alignment horizontal="left" vertical="center" wrapText="1"/>
    </xf>
    <xf numFmtId="0" fontId="15" fillId="0" borderId="42" xfId="0" applyFont="1" applyBorder="1" applyAlignment="1">
      <alignment horizontal="left" vertical="center" wrapText="1"/>
    </xf>
    <xf numFmtId="0" fontId="15" fillId="0" borderId="30" xfId="0" applyFont="1" applyBorder="1" applyAlignment="1">
      <alignment horizontal="left" vertical="center" wrapText="1"/>
    </xf>
    <xf numFmtId="0" fontId="38" fillId="0" borderId="15" xfId="0" applyFont="1" applyBorder="1" applyAlignment="1">
      <alignment wrapText="1"/>
    </xf>
    <xf numFmtId="0" fontId="38" fillId="0" borderId="11" xfId="0" applyFont="1" applyBorder="1" applyAlignment="1">
      <alignment wrapText="1"/>
    </xf>
    <xf numFmtId="0" fontId="38" fillId="0" borderId="17" xfId="0" applyFont="1" applyBorder="1" applyAlignment="1">
      <alignment wrapText="1"/>
    </xf>
    <xf numFmtId="0" fontId="38" fillId="0" borderId="43" xfId="0" applyFont="1" applyBorder="1" applyAlignment="1">
      <alignment wrapText="1"/>
    </xf>
    <xf numFmtId="0" fontId="38" fillId="0" borderId="21" xfId="0" applyFont="1" applyBorder="1" applyAlignment="1">
      <alignment wrapText="1"/>
    </xf>
    <xf numFmtId="0" fontId="38" fillId="0" borderId="44" xfId="0" applyFont="1" applyBorder="1" applyAlignment="1">
      <alignment wrapText="1"/>
    </xf>
    <xf numFmtId="0" fontId="38" fillId="0" borderId="16" xfId="0" applyFont="1" applyBorder="1" applyAlignment="1">
      <alignment wrapText="1"/>
    </xf>
    <xf numFmtId="0" fontId="38" fillId="26" borderId="20" xfId="0" applyFont="1" applyFill="1" applyBorder="1" applyAlignment="1">
      <alignment wrapText="1"/>
    </xf>
    <xf numFmtId="0" fontId="38" fillId="26" borderId="41" xfId="0" applyFont="1" applyFill="1" applyBorder="1" applyAlignment="1">
      <alignment wrapText="1"/>
    </xf>
    <xf numFmtId="0" fontId="38" fillId="26" borderId="35" xfId="0" applyFont="1" applyFill="1" applyBorder="1" applyAlignment="1">
      <alignment wrapText="1"/>
    </xf>
  </cellXfs>
  <cellStyles count="93">
    <cellStyle name="1 antraštė 2" xfId="24" xr:uid="{3D6DE4E5-4E8A-42A5-AFDB-28E3A3F4B41F}"/>
    <cellStyle name="2 antraštė 2" xfId="25" xr:uid="{F173EE37-0674-4151-90FF-68FCB0076239}"/>
    <cellStyle name="20% – paryškinimas 1 2" xfId="26" xr:uid="{2BBB3071-51FC-46BC-8CD1-7068BD38E558}"/>
    <cellStyle name="20% – paryškinimas 2 2" xfId="27" xr:uid="{2FF483E3-D554-4C5B-9101-FDF07F0DCCAC}"/>
    <cellStyle name="20% – paryškinimas 3 2" xfId="28" xr:uid="{21CA6F82-0AC0-40AA-BA43-A9661CB519DA}"/>
    <cellStyle name="20% – paryškinimas 4 2" xfId="29" xr:uid="{340A66D2-7357-409C-BDC1-02EF39350D50}"/>
    <cellStyle name="20% – paryškinimas 5 2" xfId="30" xr:uid="{10D34E3C-2F6C-4F93-9D2A-7DC84B9219A0}"/>
    <cellStyle name="20% – paryškinimas 6 2" xfId="31" xr:uid="{81BC0A30-4DE5-4D5A-8198-E597E2B46F17}"/>
    <cellStyle name="3 antraštė 2" xfId="32" xr:uid="{C3ED057C-1873-4204-ADCC-8D78A2D5EC9A}"/>
    <cellStyle name="4 antraštė 2" xfId="33" xr:uid="{D778B95C-524D-4F34-84E0-C8042DC84F5C}"/>
    <cellStyle name="40% – paryškinimas 1 2" xfId="34" xr:uid="{D3A1E48A-22EE-4D07-B095-B8FA6107F615}"/>
    <cellStyle name="40% – paryškinimas 2 2" xfId="35" xr:uid="{91A54C6C-47CE-4302-8375-E66CBE5C3CA4}"/>
    <cellStyle name="40% – paryškinimas 3 2" xfId="36" xr:uid="{8BFFFF50-CBF4-42D4-8280-11EB7376E8C9}"/>
    <cellStyle name="40% – paryškinimas 4 2" xfId="37" xr:uid="{F5F062E4-0804-4EEC-9F60-6086F14992E3}"/>
    <cellStyle name="40% – paryškinimas 5 2" xfId="38" xr:uid="{4F08EFA0-6572-4254-8EBC-8F5D1EE4BAE6}"/>
    <cellStyle name="40% – paryškinimas 6 2" xfId="39" xr:uid="{E5E4DB12-52FE-4062-ABE3-62893423776F}"/>
    <cellStyle name="60% – paryškinimas 1 2" xfId="40" xr:uid="{F48C4663-A6D9-4388-8980-763DE711E15C}"/>
    <cellStyle name="60% – paryškinimas 2 2" xfId="41" xr:uid="{C033D9BE-8B6B-4589-BDC2-DB141206A81C}"/>
    <cellStyle name="60% – paryškinimas 3 2" xfId="42" xr:uid="{D8BDA941-1E04-4B1D-AA49-F28AEECA3A81}"/>
    <cellStyle name="60% – paryškinimas 4 2" xfId="43" xr:uid="{1BCCD81C-4B90-4FFF-B48E-4C13679C2EC5}"/>
    <cellStyle name="60% – paryškinimas 5 2" xfId="44" xr:uid="{BB8FAC9A-2539-4446-B8CD-0A7F1B64ED90}"/>
    <cellStyle name="60% – paryškinimas 6 2" xfId="45" xr:uid="{F7753141-1A85-4B4A-B2D2-7D8EB7CE554E}"/>
    <cellStyle name="Aiškinamasis tekstas 2" xfId="46" xr:uid="{C54660EC-9D12-4A61-9F78-D70AC2B84A01}"/>
    <cellStyle name="Blogas 2" xfId="71" xr:uid="{2D4CC210-D41F-4B67-BAB3-BFD703B44A4C}"/>
    <cellStyle name="Blogas 3" xfId="47" xr:uid="{C1E74A7C-58D7-4EE3-A5E1-EA910222E4DA}"/>
    <cellStyle name="Geras 2" xfId="48" xr:uid="{D2FA648B-1EC4-4515-B488-8BB0D3AE7E6F}"/>
    <cellStyle name="Hipersaitas" xfId="16" builtinId="8"/>
    <cellStyle name="Įprastas" xfId="0" builtinId="0"/>
    <cellStyle name="Įprastas 10 2 2 2" xfId="90" xr:uid="{04E3D11D-0E6E-4B7E-A2BF-E2D20E1337AD}"/>
    <cellStyle name="Įprastas 10 2 2 2 2" xfId="12" xr:uid="{D78F32D0-585F-4267-A4A0-D31A37074FB6}"/>
    <cellStyle name="Įprastas 10 2 2 2 3" xfId="18" xr:uid="{01CB3727-F344-4980-AB7D-1467DAB4F4B1}"/>
    <cellStyle name="Įprastas 10 2 2 2 4" xfId="8" xr:uid="{5960026F-A2B3-4930-B46E-0691E1B6C408}"/>
    <cellStyle name="Įprastas 2" xfId="66" xr:uid="{3769E875-2344-4542-8F83-A1B3686DC0F4}"/>
    <cellStyle name="Įprastas 2 2" xfId="3" xr:uid="{F9ADD20A-130E-4CF8-8E95-A574A1D13DE3}"/>
    <cellStyle name="Įprastas 2 3" xfId="14" xr:uid="{1C73A921-F4C5-42DD-82C5-E17285ABF91F}"/>
    <cellStyle name="Įprastas 2 3 2" xfId="86" xr:uid="{148E2E21-BEDF-4E54-A2CD-BA7B3FADD9FD}"/>
    <cellStyle name="Įprastas 2 3 3" xfId="4" xr:uid="{CAE711AE-F15F-49D0-9A34-F5C556C938A2}"/>
    <cellStyle name="Įprastas 2 4" xfId="83" xr:uid="{B9F577ED-12AE-4738-B046-3DDE40BE2138}"/>
    <cellStyle name="Įprastas 2 5" xfId="17" xr:uid="{91E70D3B-3767-49D3-B56A-57EE48572012}"/>
    <cellStyle name="Įprastas 2 6" xfId="1" xr:uid="{86F2ACF4-7643-456B-8410-0C15622C6553}"/>
    <cellStyle name="Įprastas 3" xfId="70" xr:uid="{3E0B6BAD-6EEE-4062-B62B-B3F152FDA022}"/>
    <cellStyle name="Įprastas 3 2" xfId="85" xr:uid="{75667E62-3E56-4A4D-8029-7729FD14697A}"/>
    <cellStyle name="Įprastas 3 3" xfId="15" xr:uid="{F9DF598B-B821-4F6B-8012-D1DEFAA4C0A7}"/>
    <cellStyle name="Įprastas 4" xfId="72" xr:uid="{A7D2EC42-1E58-4789-AA8B-EF9DAFAFE8E1}"/>
    <cellStyle name="Įprastas 4 2" xfId="73" xr:uid="{F7E568B4-ECA4-4537-B23E-309A27F5E145}"/>
    <cellStyle name="Įprastas 4 2 2" xfId="76" xr:uid="{80029ADC-16F1-40BD-AE0B-62812670D9CD}"/>
    <cellStyle name="Įprastas 4 2 2 2" xfId="77" xr:uid="{F66E8BB4-D817-4A31-B206-85A16E724504}"/>
    <cellStyle name="Įprastas 4 2 2 2 2" xfId="82" xr:uid="{17A41891-B50C-400C-8331-ADF2A0E625C2}"/>
    <cellStyle name="Įprastas 4 2 2 2 2 2" xfId="91" xr:uid="{03D5C4FD-7302-4FB0-965D-A9860EA0FD09}"/>
    <cellStyle name="Įprastas 4 2 2 2 2 2 2" xfId="10" xr:uid="{3886B98B-8AFC-48D0-98E5-45D0C4223645}"/>
    <cellStyle name="Įprastas 4 2 2 2 3" xfId="9" xr:uid="{0AD2D522-5C0B-4B38-8C26-33A1538A9E41}"/>
    <cellStyle name="Įprastas 4 2 2 3" xfId="79" xr:uid="{86C95017-23AE-40E8-AF16-9D38FF424801}"/>
    <cellStyle name="Įprastas 4 2 3" xfId="11" xr:uid="{B878BD93-91AF-4E00-AE52-AB6EA84FD9C6}"/>
    <cellStyle name="Įprastas 4 3" xfId="13" xr:uid="{345E74B6-F196-45B6-A17D-E33C503CE915}"/>
    <cellStyle name="Įprastas 5" xfId="78" xr:uid="{0D9BED72-F66D-4780-87F0-E35FFE2BED51}"/>
    <cellStyle name="Įprastas 5 2" xfId="5" xr:uid="{DD84A9A7-9801-4AFA-8E1A-9DA05D79368C}"/>
    <cellStyle name="Įprastas 6" xfId="80" xr:uid="{79740641-86A1-4BFD-8C3A-F83A2D529DBC}"/>
    <cellStyle name="Įprastas 6 2" xfId="6" xr:uid="{0681369F-3F45-4D89-93CA-1EB58E493348}"/>
    <cellStyle name="Įprastas 7" xfId="81" xr:uid="{5A15EFA8-F316-454B-BDD7-ACE3539BB8B9}"/>
    <cellStyle name="Įprastas 8" xfId="88" xr:uid="{ED9AFBB7-7CD6-4E1C-8107-EF211BB1C9E1}"/>
    <cellStyle name="Įspėjimo tekstas 2" xfId="50" xr:uid="{5AFE7BB3-7033-4139-9AB1-6E7DE35E4ED9}"/>
    <cellStyle name="Išvestis 2" xfId="49" xr:uid="{E08D6A5C-A780-40AF-A60E-78A7A52A5C22}"/>
    <cellStyle name="Įvestis 2" xfId="51" xr:uid="{4D7CEC8F-F091-4BB0-AD91-309924BB9C19}"/>
    <cellStyle name="Kablelis 2" xfId="20" xr:uid="{F13B573C-6E5B-41D2-BA86-0D8DDF0843CB}"/>
    <cellStyle name="Kablelis 3" xfId="75" xr:uid="{2441A339-47AA-4EBE-8772-46EA1F3EE0BD}"/>
    <cellStyle name="Neutralus 2" xfId="52" xr:uid="{EE628A23-A2EB-49D3-9388-7EDE36E83CF3}"/>
    <cellStyle name="Normal 2" xfId="53" xr:uid="{F2A4DA17-95FB-4FD8-945B-EA64D5868755}"/>
    <cellStyle name="Normal 2 2" xfId="67" xr:uid="{E600963C-D139-44F7-A810-C3E1800CC21A}"/>
    <cellStyle name="Normal 2 2 2" xfId="69" xr:uid="{537E86EE-339E-48CC-BC80-A7B679E04FC1}"/>
    <cellStyle name="Paprastas_programos ir tikslai" xfId="74" xr:uid="{F1C26884-0676-4FC6-B971-CB381BAC0AC2}"/>
    <cellStyle name="Paryškinimas 1 2" xfId="54" xr:uid="{A70CE66F-A5B3-4796-8860-09BAC74EF0F8}"/>
    <cellStyle name="Paryškinimas 2 2" xfId="55" xr:uid="{13D32DF1-FA8C-4B72-B336-99610A86F3CC}"/>
    <cellStyle name="Paryškinimas 3 2" xfId="56" xr:uid="{58E19614-93C5-4624-8CF4-0D3C13FF9782}"/>
    <cellStyle name="Paryškinimas 4 2" xfId="57" xr:uid="{286EE6EB-428E-4F9A-B417-10B2C30D8804}"/>
    <cellStyle name="Paryškinimas 5 2" xfId="58" xr:uid="{CF1C52D2-FD4E-4FBF-9FE3-D9E5C1584CD0}"/>
    <cellStyle name="Paryškinimas 6 2" xfId="59" xr:uid="{180C5E42-B9F9-4722-B060-04E95726F8A7}"/>
    <cellStyle name="Pastaba 2" xfId="68" xr:uid="{E705671F-EDD5-4EA7-9FF1-1BF82C65EA65}"/>
    <cellStyle name="Pastaba 3" xfId="60" xr:uid="{7E41E6A0-3F3E-4004-95B4-C26404444A12}"/>
    <cellStyle name="Pavadinimas 2" xfId="61" xr:uid="{34621365-3AAA-420D-A485-8FB57A187C1D}"/>
    <cellStyle name="Procentai 2" xfId="7" xr:uid="{4EFF6A91-A57E-4680-B76F-E085075AB106}"/>
    <cellStyle name="Procentai 2 2" xfId="87" xr:uid="{8F0B30CE-E593-4EE9-BD54-00229D2EBE0B}"/>
    <cellStyle name="Procentai 2 3" xfId="19" xr:uid="{FEAA415F-6CCF-4719-8903-4A91A569D79A}"/>
    <cellStyle name="Procentai 2 4" xfId="2" xr:uid="{20A810FC-C80D-4B6C-8CDB-635DFBC753B3}"/>
    <cellStyle name="Procentai 3" xfId="21" xr:uid="{6FB83330-9815-49A5-B273-2DEA8FDED102}"/>
    <cellStyle name="Procentai 3 2" xfId="22" xr:uid="{0D658F9D-74BB-41D0-B9AE-27E6F78B9B1E}"/>
    <cellStyle name="Procentai 3 2 2" xfId="92" xr:uid="{7AF04185-2D66-4641-AEBB-D8CB5EBD5E1C}"/>
    <cellStyle name="Procentai 3 3" xfId="23" xr:uid="{2D3671EC-48AC-41A1-8BC3-0E9D4A5A4C4D}"/>
    <cellStyle name="Procentai 3 4" xfId="84" xr:uid="{D1689058-8EB7-49E5-8EB2-9DFFBD72DFB7}"/>
    <cellStyle name="Procentai 4" xfId="89" xr:uid="{21E0A7F9-A34E-4DA8-8B40-0BAD882938A7}"/>
    <cellStyle name="Skaičiavimas 2" xfId="62" xr:uid="{EBCB427D-B8C9-4BB0-A222-C7FE24EE710D}"/>
    <cellStyle name="Suma 2" xfId="63" xr:uid="{1E3D34F3-D278-45ED-B30E-1A5019A7FC17}"/>
    <cellStyle name="Susietas langelis 2" xfId="64" xr:uid="{60C109CA-5AAD-4DB2-8B22-6D1150A43216}"/>
    <cellStyle name="Tikrinimo langelis 2" xfId="65" xr:uid="{F54AEABD-2F33-42A7-B163-B7150224AD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\\192.168.0.14\Vdiskas\Strateginio%20planavimo%20ir%20projektu%20valdymo%20skyrius\Bendras%20Strateginis\1%20VARDAI\Vaidos\STRATEG%20PLANAVIMAS\SVP%202026-2028%20m\2026-2028%20tikslinimas_2026-04\TS%20SVP%202026-2028_2026-04-%20T11-Komitetams\Asig%20suvestin&#279;_2026_2028%2004_TS_T.xlsx" TargetMode="External"/><Relationship Id="rId2" Type="http://schemas.microsoft.com/office/2019/04/relationships/externalLinkLongPath" Target="file:///\\192.168.0.14\Vdiskas\Strateginio%20planavimo%20ir%20projektu%20valdymo%20skyrius\Bendras%20Strateginis\1%20VARDAI\Vaidos\STRATEG%20PLANAVIMAS\SVP%202026-2028%20m\2026-2028%20tikslinimas_2026-04\TS%20SVP%202026-2028_2026-04-%20T11-Komitetams\Asig%20suvestin&#279;_2026_2028%2004_TS_T.xlsx?37D7C7F8" TargetMode="External"/><Relationship Id="rId1" Type="http://schemas.openxmlformats.org/officeDocument/2006/relationships/externalLinkPath" Target="file:///\\37D7C7F8\Asig%20suvestin&#279;_2026_2028%2004_TS_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Vykd "/>
      <sheetName val="1"/>
      <sheetName val="1NF"/>
      <sheetName val="2"/>
      <sheetName val="2NF"/>
      <sheetName val="3"/>
      <sheetName val="3NF"/>
      <sheetName val="4"/>
      <sheetName val="4NF"/>
      <sheetName val="5"/>
      <sheetName val="5NF"/>
      <sheetName val="6"/>
      <sheetName val="6NF"/>
      <sheetName val="7"/>
      <sheetName val="7NF"/>
      <sheetName val="8"/>
      <sheetName val="8NF"/>
      <sheetName val="9"/>
      <sheetName val="9NF"/>
      <sheetName val="SUVESTINĖ"/>
      <sheetName val="NF_SUVEST"/>
      <sheetName val="Skaičiuoklė"/>
      <sheetName val="Diagram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Vaida Čedavičienė" id="{8B4D081F-5B82-4505-8074-98EC175D7163}" userId="S::vaida.cedaviciene@klaipedos-r.lt::026d13fa-f615-4812-946d-a104bfd247df" providerId="AD"/>
</personList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1276" dT="2026-08-26T13:44:20.70" personId="{8B4D081F-5B82-4505-8074-98EC175D7163}" id="{F2195063-A031-48A4-B6EF-B0AE46804BE4}">
    <text>35 000 Eur 08 mėn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4194E-4848-40B3-BE0A-A3395C61CAD7}">
  <sheetPr>
    <pageSetUpPr fitToPage="1"/>
  </sheetPr>
  <dimension ref="A1:P1328"/>
  <sheetViews>
    <sheetView showGridLines="0" showZeros="0" tabSelected="1" zoomScaleNormal="100" zoomScaleSheetLayoutView="85" zoomScalePageLayoutView="55" workbookViewId="0">
      <pane ySplit="4" topLeftCell="A5" activePane="bottomLeft" state="frozen"/>
      <selection pane="bottomLeft" activeCell="R3" sqref="R3"/>
    </sheetView>
  </sheetViews>
  <sheetFormatPr defaultRowHeight="12.75" customHeight="1" x14ac:dyDescent="0.2"/>
  <cols>
    <col min="1" max="1" width="6.42578125" style="17" customWidth="1"/>
    <col min="2" max="3" width="8.7109375" style="17" customWidth="1"/>
    <col min="4" max="4" width="37.28515625" style="19" customWidth="1"/>
    <col min="5" max="5" width="8.140625" style="17" customWidth="1"/>
    <col min="6" max="6" width="9.42578125" style="17" customWidth="1"/>
    <col min="7" max="7" width="9.140625" style="17" customWidth="1"/>
    <col min="8" max="8" width="8.7109375" style="20" customWidth="1"/>
    <col min="9" max="9" width="6.85546875" style="17" hidden="1" customWidth="1"/>
    <col min="10" max="10" width="20" style="153" customWidth="1"/>
    <col min="11" max="11" width="24.7109375" style="152" customWidth="1"/>
    <col min="12" max="12" width="11" style="17" customWidth="1"/>
    <col min="13" max="13" width="22.85546875" customWidth="1"/>
  </cols>
  <sheetData>
    <row r="1" spans="1:13" ht="75.75" customHeight="1" thickBot="1" x14ac:dyDescent="0.25">
      <c r="D1" s="994" t="s">
        <v>2005</v>
      </c>
      <c r="E1" s="995"/>
      <c r="F1" s="995"/>
      <c r="G1" s="996"/>
      <c r="H1" s="18"/>
      <c r="L1" s="1009" t="s">
        <v>2176</v>
      </c>
      <c r="M1" s="1009"/>
    </row>
    <row r="2" spans="1:13" ht="10.9" customHeight="1" thickBot="1" x14ac:dyDescent="0.25"/>
    <row r="3" spans="1:13" s="20" customFormat="1" ht="63.6" customHeight="1" x14ac:dyDescent="0.2">
      <c r="A3" s="997" t="s">
        <v>0</v>
      </c>
      <c r="B3" s="999" t="s">
        <v>1</v>
      </c>
      <c r="C3" s="999" t="s">
        <v>2</v>
      </c>
      <c r="D3" s="1001" t="s">
        <v>3</v>
      </c>
      <c r="E3" s="1003" t="s">
        <v>4</v>
      </c>
      <c r="F3" s="1005" t="s">
        <v>5</v>
      </c>
      <c r="G3" s="1007" t="s">
        <v>6</v>
      </c>
      <c r="H3" s="21" t="s">
        <v>7</v>
      </c>
      <c r="I3" s="22" t="s">
        <v>8</v>
      </c>
      <c r="J3" s="44" t="s">
        <v>9</v>
      </c>
      <c r="K3" s="159" t="s">
        <v>10</v>
      </c>
      <c r="L3" s="44" t="s">
        <v>2004</v>
      </c>
      <c r="M3" s="992" t="s">
        <v>11</v>
      </c>
    </row>
    <row r="4" spans="1:13" s="20" customFormat="1" ht="11.25" customHeight="1" thickBot="1" x14ac:dyDescent="0.25">
      <c r="A4" s="998"/>
      <c r="B4" s="1000"/>
      <c r="C4" s="1000"/>
      <c r="D4" s="1002"/>
      <c r="E4" s="1004"/>
      <c r="F4" s="1006"/>
      <c r="G4" s="1008"/>
      <c r="H4" s="865"/>
      <c r="I4" s="23"/>
      <c r="J4" s="154"/>
      <c r="K4" s="160"/>
      <c r="L4" s="23"/>
      <c r="M4" s="993"/>
    </row>
    <row r="5" spans="1:13" s="20" customFormat="1" ht="11.25" customHeight="1" x14ac:dyDescent="0.2">
      <c r="A5" s="934"/>
      <c r="B5" s="934"/>
      <c r="C5" s="934"/>
      <c r="D5" s="934" t="s">
        <v>2017</v>
      </c>
      <c r="E5" s="935"/>
      <c r="F5" s="934"/>
      <c r="G5" s="934"/>
      <c r="H5" s="934"/>
      <c r="I5" s="934"/>
      <c r="J5" s="934"/>
      <c r="K5" s="934"/>
      <c r="L5" s="934"/>
      <c r="M5" s="936"/>
    </row>
    <row r="6" spans="1:13" s="20" customFormat="1" ht="33" customHeight="1" x14ac:dyDescent="0.2">
      <c r="A6" s="197"/>
      <c r="B6" s="198"/>
      <c r="C6" s="198"/>
      <c r="D6" s="199" t="s">
        <v>12</v>
      </c>
      <c r="E6" s="200"/>
      <c r="F6" s="198"/>
      <c r="G6" s="201"/>
      <c r="H6" s="200"/>
      <c r="I6" s="202"/>
      <c r="J6" s="155"/>
      <c r="K6" s="161"/>
      <c r="L6" s="45"/>
      <c r="M6" s="46"/>
    </row>
    <row r="7" spans="1:13" s="20" customFormat="1" ht="33.75" x14ac:dyDescent="0.2">
      <c r="A7" s="197">
        <v>1</v>
      </c>
      <c r="B7" s="203" t="s">
        <v>13</v>
      </c>
      <c r="C7" s="203" t="s">
        <v>13</v>
      </c>
      <c r="D7" s="204" t="s">
        <v>14</v>
      </c>
      <c r="E7" s="205"/>
      <c r="F7" s="206"/>
      <c r="G7" s="301"/>
      <c r="H7" s="207"/>
      <c r="I7" s="202"/>
      <c r="J7" s="155"/>
      <c r="K7" s="161"/>
      <c r="L7" s="45"/>
      <c r="M7" s="46"/>
    </row>
    <row r="8" spans="1:13" s="20" customFormat="1" ht="45" x14ac:dyDescent="0.2">
      <c r="A8" s="197">
        <v>1</v>
      </c>
      <c r="B8" s="208"/>
      <c r="C8" s="208" t="s">
        <v>45</v>
      </c>
      <c r="D8" s="209" t="s">
        <v>46</v>
      </c>
      <c r="E8" s="215" t="s">
        <v>47</v>
      </c>
      <c r="F8" s="214" t="s">
        <v>48</v>
      </c>
      <c r="G8" s="214" t="s">
        <v>19</v>
      </c>
      <c r="H8" s="219">
        <v>11.5</v>
      </c>
      <c r="I8" s="202" t="s">
        <v>49</v>
      </c>
      <c r="J8" s="859" t="s">
        <v>50</v>
      </c>
      <c r="K8" s="786" t="s">
        <v>51</v>
      </c>
      <c r="L8" s="156" t="s">
        <v>52</v>
      </c>
      <c r="M8" s="47"/>
    </row>
    <row r="9" spans="1:13" s="20" customFormat="1" ht="12" customHeight="1" x14ac:dyDescent="0.2">
      <c r="A9" s="197">
        <v>1</v>
      </c>
      <c r="B9" s="208"/>
      <c r="C9" s="208"/>
      <c r="D9" s="209"/>
      <c r="E9" s="215" t="s">
        <v>47</v>
      </c>
      <c r="F9" s="214" t="s">
        <v>48</v>
      </c>
      <c r="G9" s="213" t="s">
        <v>24</v>
      </c>
      <c r="H9" s="220">
        <f>SUM(H8)</f>
        <v>11.5</v>
      </c>
      <c r="I9" s="202"/>
      <c r="J9" s="156"/>
      <c r="K9" s="162"/>
      <c r="L9" s="52"/>
      <c r="M9" s="47"/>
    </row>
    <row r="10" spans="1:13" s="20" customFormat="1" ht="26.25" customHeight="1" x14ac:dyDescent="0.2">
      <c r="A10" s="197">
        <v>1</v>
      </c>
      <c r="B10" s="208"/>
      <c r="C10" s="208" t="s">
        <v>53</v>
      </c>
      <c r="D10" s="1010" t="s">
        <v>54</v>
      </c>
      <c r="E10" s="215" t="s">
        <v>47</v>
      </c>
      <c r="F10" s="221" t="s">
        <v>55</v>
      </c>
      <c r="G10" s="210" t="s">
        <v>56</v>
      </c>
      <c r="H10" s="219">
        <v>220</v>
      </c>
      <c r="I10" s="202"/>
      <c r="J10" s="859" t="s">
        <v>57</v>
      </c>
      <c r="K10" s="786"/>
      <c r="L10" s="52">
        <v>0</v>
      </c>
      <c r="M10" s="48"/>
    </row>
    <row r="11" spans="1:13" s="20" customFormat="1" ht="15.75" customHeight="1" x14ac:dyDescent="0.2">
      <c r="A11" s="197">
        <v>1</v>
      </c>
      <c r="B11" s="208"/>
      <c r="C11" s="208"/>
      <c r="D11" s="1011"/>
      <c r="E11" s="215" t="s">
        <v>47</v>
      </c>
      <c r="F11" s="221" t="s">
        <v>55</v>
      </c>
      <c r="G11" s="214" t="s">
        <v>19</v>
      </c>
      <c r="H11" s="219">
        <f>150-26.4</f>
        <v>123.6</v>
      </c>
      <c r="I11" s="202" t="s">
        <v>58</v>
      </c>
      <c r="J11" s="156"/>
      <c r="K11" s="162"/>
      <c r="L11" s="52"/>
      <c r="M11" s="47"/>
    </row>
    <row r="12" spans="1:13" s="20" customFormat="1" ht="15" customHeight="1" x14ac:dyDescent="0.2">
      <c r="A12" s="197">
        <v>1</v>
      </c>
      <c r="B12" s="208"/>
      <c r="C12" s="208"/>
      <c r="D12" s="1011"/>
      <c r="E12" s="215" t="s">
        <v>47</v>
      </c>
      <c r="F12" s="222" t="s">
        <v>55</v>
      </c>
      <c r="G12" s="210" t="s">
        <v>59</v>
      </c>
      <c r="H12" s="219">
        <v>139</v>
      </c>
      <c r="I12" s="202"/>
      <c r="J12" s="156"/>
      <c r="K12" s="162"/>
      <c r="L12" s="52"/>
      <c r="M12" s="47"/>
    </row>
    <row r="13" spans="1:13" s="20" customFormat="1" ht="13.15" customHeight="1" x14ac:dyDescent="0.2">
      <c r="A13" s="197">
        <v>1</v>
      </c>
      <c r="B13" s="208"/>
      <c r="C13" s="208"/>
      <c r="D13" s="1012"/>
      <c r="E13" s="215" t="s">
        <v>47</v>
      </c>
      <c r="F13" s="221" t="s">
        <v>55</v>
      </c>
      <c r="G13" s="213" t="s">
        <v>24</v>
      </c>
      <c r="H13" s="220">
        <f>SUM(H10:H12)</f>
        <v>482.6</v>
      </c>
      <c r="I13" s="202"/>
      <c r="J13" s="156"/>
      <c r="K13" s="162"/>
      <c r="L13" s="52"/>
      <c r="M13" s="47"/>
    </row>
    <row r="14" spans="1:13" s="20" customFormat="1" ht="25.9" customHeight="1" x14ac:dyDescent="0.2">
      <c r="A14" s="197">
        <v>1</v>
      </c>
      <c r="B14" s="208"/>
      <c r="C14" s="208" t="s">
        <v>60</v>
      </c>
      <c r="D14" s="866" t="s">
        <v>61</v>
      </c>
      <c r="E14" s="218" t="s">
        <v>62</v>
      </c>
      <c r="F14" s="221" t="s">
        <v>63</v>
      </c>
      <c r="G14" s="214" t="s">
        <v>19</v>
      </c>
      <c r="H14" s="219">
        <v>186</v>
      </c>
      <c r="I14" s="202" t="s">
        <v>64</v>
      </c>
      <c r="J14" s="858" t="s">
        <v>65</v>
      </c>
      <c r="K14" s="868" t="s">
        <v>66</v>
      </c>
      <c r="L14" s="785">
        <v>1</v>
      </c>
      <c r="M14" s="49" t="s">
        <v>67</v>
      </c>
    </row>
    <row r="15" spans="1:13" s="20" customFormat="1" ht="13.9" customHeight="1" x14ac:dyDescent="0.2">
      <c r="A15" s="197">
        <v>1</v>
      </c>
      <c r="B15" s="208"/>
      <c r="C15" s="208"/>
      <c r="D15" s="209"/>
      <c r="E15" s="215"/>
      <c r="F15" s="221" t="s">
        <v>63</v>
      </c>
      <c r="G15" s="213" t="s">
        <v>24</v>
      </c>
      <c r="H15" s="220">
        <f>SUM(H14:H14)</f>
        <v>186</v>
      </c>
      <c r="I15" s="202"/>
      <c r="J15" s="156"/>
      <c r="K15" s="162"/>
      <c r="L15" s="52"/>
      <c r="M15" s="47"/>
    </row>
    <row r="16" spans="1:13" s="20" customFormat="1" ht="21.6" customHeight="1" x14ac:dyDescent="0.2">
      <c r="A16" s="197">
        <v>1</v>
      </c>
      <c r="B16" s="208"/>
      <c r="C16" s="208" t="s">
        <v>70</v>
      </c>
      <c r="D16" s="1010" t="s">
        <v>71</v>
      </c>
      <c r="E16" s="210">
        <v>9</v>
      </c>
      <c r="F16" s="221" t="s">
        <v>72</v>
      </c>
      <c r="G16" s="214" t="s">
        <v>19</v>
      </c>
      <c r="H16" s="219">
        <f>937.8-110-30</f>
        <v>797.8</v>
      </c>
      <c r="I16" s="202" t="s">
        <v>49</v>
      </c>
      <c r="J16" s="859" t="s">
        <v>73</v>
      </c>
      <c r="K16" s="786" t="s">
        <v>74</v>
      </c>
      <c r="L16" s="52">
        <v>31</v>
      </c>
      <c r="M16" s="50"/>
    </row>
    <row r="17" spans="1:13" s="20" customFormat="1" ht="15.75" customHeight="1" x14ac:dyDescent="0.2">
      <c r="A17" s="197">
        <v>1</v>
      </c>
      <c r="B17" s="208"/>
      <c r="C17" s="208"/>
      <c r="D17" s="1011"/>
      <c r="E17" s="210">
        <v>9</v>
      </c>
      <c r="F17" s="221" t="s">
        <v>72</v>
      </c>
      <c r="G17" s="210" t="s">
        <v>75</v>
      </c>
      <c r="H17" s="219">
        <v>0</v>
      </c>
      <c r="I17" s="202"/>
      <c r="J17" s="156"/>
      <c r="K17" s="162"/>
      <c r="L17" s="52"/>
      <c r="M17" s="50"/>
    </row>
    <row r="18" spans="1:13" s="20" customFormat="1" ht="15.75" customHeight="1" x14ac:dyDescent="0.2">
      <c r="A18" s="197">
        <v>1</v>
      </c>
      <c r="B18" s="208"/>
      <c r="C18" s="208"/>
      <c r="D18" s="1012"/>
      <c r="E18" s="210">
        <v>9</v>
      </c>
      <c r="F18" s="221" t="s">
        <v>72</v>
      </c>
      <c r="G18" s="221" t="s">
        <v>21</v>
      </c>
      <c r="H18" s="219">
        <v>0</v>
      </c>
      <c r="I18" s="202"/>
      <c r="J18" s="156"/>
      <c r="K18" s="162"/>
      <c r="L18" s="52"/>
      <c r="M18" s="50"/>
    </row>
    <row r="19" spans="1:13" s="20" customFormat="1" ht="15.75" customHeight="1" x14ac:dyDescent="0.2">
      <c r="A19" s="197">
        <v>1</v>
      </c>
      <c r="B19" s="208"/>
      <c r="C19" s="208"/>
      <c r="D19" s="209"/>
      <c r="E19" s="210">
        <v>9</v>
      </c>
      <c r="F19" s="221" t="s">
        <v>72</v>
      </c>
      <c r="G19" s="213" t="s">
        <v>24</v>
      </c>
      <c r="H19" s="220">
        <f>SUM(H16:H18)</f>
        <v>797.8</v>
      </c>
      <c r="I19" s="202"/>
      <c r="J19" s="156"/>
      <c r="K19" s="162"/>
      <c r="L19" s="52"/>
      <c r="M19" s="50"/>
    </row>
    <row r="20" spans="1:13" s="20" customFormat="1" ht="27" customHeight="1" x14ac:dyDescent="0.2">
      <c r="A20" s="197">
        <v>1</v>
      </c>
      <c r="B20" s="208"/>
      <c r="C20" s="208" t="s">
        <v>76</v>
      </c>
      <c r="D20" s="209" t="s">
        <v>77</v>
      </c>
      <c r="E20" s="210">
        <v>18</v>
      </c>
      <c r="F20" s="221" t="s">
        <v>78</v>
      </c>
      <c r="G20" s="214" t="s">
        <v>19</v>
      </c>
      <c r="H20" s="219">
        <f>1300-414.9-40</f>
        <v>845.1</v>
      </c>
      <c r="I20" s="202" t="s">
        <v>49</v>
      </c>
      <c r="J20" s="859" t="s">
        <v>79</v>
      </c>
      <c r="K20" s="786" t="s">
        <v>80</v>
      </c>
      <c r="L20" s="785">
        <v>100</v>
      </c>
      <c r="M20" s="50"/>
    </row>
    <row r="21" spans="1:13" s="20" customFormat="1" ht="13.9" customHeight="1" x14ac:dyDescent="0.2">
      <c r="A21" s="197">
        <v>1</v>
      </c>
      <c r="B21" s="208"/>
      <c r="C21" s="208"/>
      <c r="D21" s="209"/>
      <c r="E21" s="210">
        <v>18</v>
      </c>
      <c r="F21" s="221" t="s">
        <v>78</v>
      </c>
      <c r="G21" s="213" t="s">
        <v>24</v>
      </c>
      <c r="H21" s="220">
        <f>SUM(H20)</f>
        <v>845.1</v>
      </c>
      <c r="I21" s="202"/>
      <c r="J21" s="156"/>
      <c r="K21" s="162"/>
      <c r="L21" s="52"/>
      <c r="M21" s="50"/>
    </row>
    <row r="22" spans="1:13" s="20" customFormat="1" ht="31.15" customHeight="1" x14ac:dyDescent="0.2">
      <c r="A22" s="197">
        <v>1</v>
      </c>
      <c r="B22" s="208"/>
      <c r="C22" s="208" t="s">
        <v>81</v>
      </c>
      <c r="D22" s="225" t="s">
        <v>82</v>
      </c>
      <c r="E22" s="210">
        <v>11</v>
      </c>
      <c r="F22" s="221" t="s">
        <v>83</v>
      </c>
      <c r="G22" s="214" t="s">
        <v>56</v>
      </c>
      <c r="H22" s="219">
        <v>193.4</v>
      </c>
      <c r="I22" s="202"/>
      <c r="J22" s="859" t="s">
        <v>1950</v>
      </c>
      <c r="K22" s="786" t="s">
        <v>84</v>
      </c>
      <c r="L22" s="52">
        <v>11</v>
      </c>
      <c r="M22" s="50"/>
    </row>
    <row r="23" spans="1:13" s="20" customFormat="1" ht="23.25" customHeight="1" x14ac:dyDescent="0.2">
      <c r="A23" s="197">
        <v>1</v>
      </c>
      <c r="B23" s="208"/>
      <c r="C23" s="208"/>
      <c r="D23" s="225"/>
      <c r="E23" s="210">
        <v>11</v>
      </c>
      <c r="F23" s="221" t="s">
        <v>83</v>
      </c>
      <c r="G23" s="214" t="s">
        <v>59</v>
      </c>
      <c r="H23" s="219">
        <v>50.9</v>
      </c>
      <c r="I23" s="202"/>
      <c r="J23" s="156"/>
      <c r="K23" s="162"/>
      <c r="L23" s="52"/>
      <c r="M23" s="50"/>
    </row>
    <row r="24" spans="1:13" s="20" customFormat="1" ht="11.25" x14ac:dyDescent="0.2">
      <c r="A24" s="197">
        <v>1</v>
      </c>
      <c r="B24" s="208"/>
      <c r="C24" s="208"/>
      <c r="D24" s="209"/>
      <c r="E24" s="210">
        <v>11</v>
      </c>
      <c r="F24" s="221" t="s">
        <v>83</v>
      </c>
      <c r="G24" s="213" t="s">
        <v>24</v>
      </c>
      <c r="H24" s="220">
        <f>SUM(H22:H23)</f>
        <v>244.3</v>
      </c>
      <c r="I24" s="202"/>
      <c r="J24" s="156"/>
      <c r="K24" s="162"/>
      <c r="L24" s="52"/>
      <c r="M24" s="50"/>
    </row>
    <row r="25" spans="1:13" s="20" customFormat="1" ht="11.25" customHeight="1" x14ac:dyDescent="0.2">
      <c r="A25" s="197">
        <v>1</v>
      </c>
      <c r="B25" s="208"/>
      <c r="C25" s="208" t="s">
        <v>85</v>
      </c>
      <c r="D25" s="1010" t="s">
        <v>86</v>
      </c>
      <c r="E25" s="226">
        <v>6</v>
      </c>
      <c r="F25" s="227" t="s">
        <v>87</v>
      </c>
      <c r="G25" s="210" t="s">
        <v>16</v>
      </c>
      <c r="H25" s="219">
        <f>541.2-142.5-35.3</f>
        <v>363.40000000000003</v>
      </c>
      <c r="I25" s="202"/>
      <c r="J25" s="162" t="s">
        <v>88</v>
      </c>
      <c r="K25" s="162" t="s">
        <v>89</v>
      </c>
      <c r="L25" s="52">
        <v>100</v>
      </c>
      <c r="M25" s="50"/>
    </row>
    <row r="26" spans="1:13" s="20" customFormat="1" ht="11.25" customHeight="1" x14ac:dyDescent="0.2">
      <c r="A26" s="197">
        <v>1</v>
      </c>
      <c r="B26" s="208"/>
      <c r="C26" s="208"/>
      <c r="D26" s="1011"/>
      <c r="E26" s="226">
        <v>6</v>
      </c>
      <c r="F26" s="227" t="s">
        <v>87</v>
      </c>
      <c r="G26" s="214" t="s">
        <v>42</v>
      </c>
      <c r="H26" s="219"/>
      <c r="I26" s="202"/>
      <c r="J26" s="156"/>
      <c r="K26" s="162"/>
      <c r="L26" s="52"/>
      <c r="M26" s="50"/>
    </row>
    <row r="27" spans="1:13" s="20" customFormat="1" ht="11.25" customHeight="1" x14ac:dyDescent="0.2">
      <c r="A27" s="197">
        <v>1</v>
      </c>
      <c r="B27" s="208"/>
      <c r="C27" s="208"/>
      <c r="D27" s="1011"/>
      <c r="E27" s="226">
        <v>6</v>
      </c>
      <c r="F27" s="227" t="s">
        <v>87</v>
      </c>
      <c r="G27" s="210" t="s">
        <v>21</v>
      </c>
      <c r="H27" s="219">
        <f>19.1-19.1</f>
        <v>0</v>
      </c>
      <c r="I27" s="202"/>
      <c r="J27" s="156"/>
      <c r="K27" s="162"/>
      <c r="L27" s="52"/>
      <c r="M27" s="50"/>
    </row>
    <row r="28" spans="1:13" s="20" customFormat="1" ht="11.25" customHeight="1" x14ac:dyDescent="0.2">
      <c r="A28" s="197">
        <v>1</v>
      </c>
      <c r="B28" s="208"/>
      <c r="C28" s="208"/>
      <c r="D28" s="1011"/>
      <c r="E28" s="226">
        <v>6</v>
      </c>
      <c r="F28" s="227" t="s">
        <v>87</v>
      </c>
      <c r="G28" s="214" t="s">
        <v>19</v>
      </c>
      <c r="H28" s="219"/>
      <c r="I28" s="202"/>
      <c r="J28" s="156"/>
      <c r="K28" s="162"/>
      <c r="L28" s="52"/>
      <c r="M28" s="50"/>
    </row>
    <row r="29" spans="1:13" s="20" customFormat="1" ht="12.6" customHeight="1" x14ac:dyDescent="0.2">
      <c r="A29" s="197">
        <v>1</v>
      </c>
      <c r="B29" s="208"/>
      <c r="C29" s="208"/>
      <c r="D29" s="1012"/>
      <c r="E29" s="226">
        <v>6</v>
      </c>
      <c r="F29" s="227" t="s">
        <v>87</v>
      </c>
      <c r="G29" s="213" t="s">
        <v>24</v>
      </c>
      <c r="H29" s="220">
        <f>SUM(H25:H28)</f>
        <v>363.40000000000003</v>
      </c>
      <c r="I29" s="202"/>
      <c r="J29" s="156"/>
      <c r="K29" s="162"/>
      <c r="L29" s="52"/>
      <c r="M29" s="50"/>
    </row>
    <row r="30" spans="1:13" s="20" customFormat="1" ht="29.45" customHeight="1" x14ac:dyDescent="0.2">
      <c r="A30" s="197">
        <v>1</v>
      </c>
      <c r="B30" s="208"/>
      <c r="C30" s="208" t="s">
        <v>90</v>
      </c>
      <c r="D30" s="228" t="s">
        <v>91</v>
      </c>
      <c r="E30" s="226">
        <v>17</v>
      </c>
      <c r="F30" s="227" t="s">
        <v>92</v>
      </c>
      <c r="G30" s="218" t="s">
        <v>19</v>
      </c>
      <c r="H30" s="219">
        <v>5</v>
      </c>
      <c r="I30" s="202" t="s">
        <v>64</v>
      </c>
      <c r="J30" s="859" t="s">
        <v>93</v>
      </c>
      <c r="K30" s="853" t="s">
        <v>94</v>
      </c>
      <c r="L30" s="156">
        <v>1</v>
      </c>
      <c r="M30" s="50"/>
    </row>
    <row r="31" spans="1:13" s="20" customFormat="1" ht="13.15" customHeight="1" x14ac:dyDescent="0.2">
      <c r="A31" s="197">
        <v>1</v>
      </c>
      <c r="B31" s="208"/>
      <c r="C31" s="208"/>
      <c r="D31" s="217"/>
      <c r="E31" s="226">
        <v>17</v>
      </c>
      <c r="F31" s="227"/>
      <c r="G31" s="213" t="s">
        <v>24</v>
      </c>
      <c r="H31" s="229">
        <f>SUM(H30)</f>
        <v>5</v>
      </c>
      <c r="I31" s="202"/>
      <c r="J31" s="156"/>
      <c r="K31" s="162"/>
      <c r="L31" s="52"/>
      <c r="M31" s="50"/>
    </row>
    <row r="32" spans="1:13" s="20" customFormat="1" ht="34.15" customHeight="1" x14ac:dyDescent="0.2">
      <c r="A32" s="197">
        <v>1</v>
      </c>
      <c r="B32" s="208"/>
      <c r="C32" s="208" t="s">
        <v>95</v>
      </c>
      <c r="D32" s="217" t="s">
        <v>96</v>
      </c>
      <c r="E32" s="226">
        <v>17</v>
      </c>
      <c r="F32" s="227" t="s">
        <v>97</v>
      </c>
      <c r="G32" s="218" t="s">
        <v>19</v>
      </c>
      <c r="H32" s="219">
        <f>22+10</f>
        <v>32</v>
      </c>
      <c r="I32" s="202" t="s">
        <v>58</v>
      </c>
      <c r="J32" s="859" t="s">
        <v>93</v>
      </c>
      <c r="K32" s="853" t="s">
        <v>98</v>
      </c>
      <c r="L32" s="52">
        <v>20</v>
      </c>
      <c r="M32" s="50"/>
    </row>
    <row r="33" spans="1:13" s="20" customFormat="1" ht="11.25" customHeight="1" x14ac:dyDescent="0.2">
      <c r="A33" s="197">
        <v>1</v>
      </c>
      <c r="B33" s="208"/>
      <c r="C33" s="208"/>
      <c r="D33" s="217"/>
      <c r="E33" s="226">
        <v>17</v>
      </c>
      <c r="F33" s="227" t="s">
        <v>97</v>
      </c>
      <c r="G33" s="218" t="s">
        <v>56</v>
      </c>
      <c r="H33" s="219">
        <v>143.4</v>
      </c>
      <c r="I33" s="202"/>
      <c r="J33" s="156"/>
      <c r="K33" s="162"/>
      <c r="L33" s="52"/>
      <c r="M33" s="50"/>
    </row>
    <row r="34" spans="1:13" s="20" customFormat="1" ht="11.25" customHeight="1" x14ac:dyDescent="0.2">
      <c r="A34" s="197">
        <v>1</v>
      </c>
      <c r="B34" s="208"/>
      <c r="C34" s="208"/>
      <c r="D34" s="217"/>
      <c r="E34" s="226">
        <v>17</v>
      </c>
      <c r="F34" s="227" t="s">
        <v>97</v>
      </c>
      <c r="G34" s="218" t="s">
        <v>59</v>
      </c>
      <c r="H34" s="219">
        <v>25.3</v>
      </c>
      <c r="I34" s="202"/>
      <c r="J34" s="156"/>
      <c r="K34" s="162"/>
      <c r="L34" s="52"/>
      <c r="M34" s="50"/>
    </row>
    <row r="35" spans="1:13" s="20" customFormat="1" ht="10.15" customHeight="1" x14ac:dyDescent="0.2">
      <c r="A35" s="197">
        <v>1</v>
      </c>
      <c r="B35" s="208"/>
      <c r="C35" s="208"/>
      <c r="D35" s="217"/>
      <c r="E35" s="226"/>
      <c r="F35" s="227"/>
      <c r="G35" s="213" t="s">
        <v>24</v>
      </c>
      <c r="H35" s="229">
        <f>SUM(H32:H34)</f>
        <v>200.70000000000002</v>
      </c>
      <c r="I35" s="202"/>
      <c r="J35" s="156"/>
      <c r="K35" s="162"/>
      <c r="L35" s="52"/>
      <c r="M35" s="50"/>
    </row>
    <row r="36" spans="1:13" s="20" customFormat="1" ht="22.5" x14ac:dyDescent="0.2">
      <c r="A36" s="197">
        <v>1</v>
      </c>
      <c r="B36" s="208"/>
      <c r="C36" s="208" t="s">
        <v>99</v>
      </c>
      <c r="D36" s="1010" t="s">
        <v>100</v>
      </c>
      <c r="E36" s="226">
        <v>11</v>
      </c>
      <c r="F36" s="227" t="s">
        <v>101</v>
      </c>
      <c r="G36" s="218" t="s">
        <v>59</v>
      </c>
      <c r="H36" s="219">
        <v>7</v>
      </c>
      <c r="I36" s="202"/>
      <c r="J36" s="786" t="s">
        <v>102</v>
      </c>
      <c r="K36" s="786" t="s">
        <v>103</v>
      </c>
      <c r="L36" s="785">
        <v>1</v>
      </c>
      <c r="M36" s="50"/>
    </row>
    <row r="37" spans="1:13" s="20" customFormat="1" ht="11.25" x14ac:dyDescent="0.2">
      <c r="A37" s="197">
        <v>1</v>
      </c>
      <c r="B37" s="208"/>
      <c r="C37" s="208"/>
      <c r="D37" s="1012"/>
      <c r="E37" s="226"/>
      <c r="F37" s="227"/>
      <c r="G37" s="215" t="s">
        <v>56</v>
      </c>
      <c r="H37" s="219">
        <v>8.1</v>
      </c>
      <c r="I37" s="202"/>
      <c r="J37" s="156"/>
      <c r="K37" s="162"/>
      <c r="L37" s="52"/>
      <c r="M37" s="50"/>
    </row>
    <row r="38" spans="1:13" s="20" customFormat="1" ht="11.25" x14ac:dyDescent="0.2">
      <c r="A38" s="197">
        <v>1</v>
      </c>
      <c r="B38" s="208"/>
      <c r="C38" s="208"/>
      <c r="D38" s="217"/>
      <c r="E38" s="226"/>
      <c r="F38" s="227"/>
      <c r="G38" s="213" t="s">
        <v>24</v>
      </c>
      <c r="H38" s="229">
        <f>SUM(H36,H37)</f>
        <v>15.1</v>
      </c>
      <c r="I38" s="202"/>
      <c r="J38" s="156"/>
      <c r="K38" s="162"/>
      <c r="L38" s="52"/>
      <c r="M38" s="50"/>
    </row>
    <row r="39" spans="1:13" s="20" customFormat="1" ht="22.15" customHeight="1" x14ac:dyDescent="0.2">
      <c r="A39" s="197">
        <v>1</v>
      </c>
      <c r="B39" s="208"/>
      <c r="C39" s="208" t="s">
        <v>104</v>
      </c>
      <c r="D39" s="1010" t="s">
        <v>105</v>
      </c>
      <c r="E39" s="226">
        <v>11</v>
      </c>
      <c r="F39" s="227" t="s">
        <v>106</v>
      </c>
      <c r="G39" s="218" t="s">
        <v>19</v>
      </c>
      <c r="H39" s="219">
        <v>59.7</v>
      </c>
      <c r="I39" s="202" t="s">
        <v>58</v>
      </c>
      <c r="J39" s="859" t="s">
        <v>107</v>
      </c>
      <c r="K39" s="786" t="s">
        <v>108</v>
      </c>
      <c r="L39" s="785">
        <v>200</v>
      </c>
      <c r="M39" s="50"/>
    </row>
    <row r="40" spans="1:13" s="20" customFormat="1" ht="26.25" customHeight="1" x14ac:dyDescent="0.2">
      <c r="A40" s="197">
        <v>1</v>
      </c>
      <c r="B40" s="208"/>
      <c r="C40" s="208"/>
      <c r="D40" s="1012"/>
      <c r="E40" s="226">
        <v>11</v>
      </c>
      <c r="F40" s="227" t="s">
        <v>106</v>
      </c>
      <c r="G40" s="218" t="s">
        <v>56</v>
      </c>
      <c r="H40" s="219">
        <v>410.1</v>
      </c>
      <c r="I40" s="202"/>
      <c r="J40" s="156"/>
      <c r="K40" s="162"/>
      <c r="L40" s="52"/>
      <c r="M40" s="50"/>
    </row>
    <row r="41" spans="1:13" s="20" customFormat="1" ht="11.25" x14ac:dyDescent="0.2">
      <c r="A41" s="197">
        <v>1</v>
      </c>
      <c r="B41" s="208"/>
      <c r="C41" s="208"/>
      <c r="D41" s="217"/>
      <c r="E41" s="226">
        <v>11</v>
      </c>
      <c r="F41" s="227" t="s">
        <v>106</v>
      </c>
      <c r="G41" s="218" t="s">
        <v>59</v>
      </c>
      <c r="H41" s="219">
        <v>72.400000000000006</v>
      </c>
      <c r="I41" s="202"/>
      <c r="J41" s="156"/>
      <c r="K41" s="162"/>
      <c r="L41" s="52"/>
      <c r="M41" s="50"/>
    </row>
    <row r="42" spans="1:13" s="20" customFormat="1" ht="11.25" x14ac:dyDescent="0.2">
      <c r="A42" s="197">
        <v>1</v>
      </c>
      <c r="B42" s="208"/>
      <c r="C42" s="208"/>
      <c r="D42" s="216"/>
      <c r="E42" s="230"/>
      <c r="F42" s="227"/>
      <c r="G42" s="213" t="s">
        <v>24</v>
      </c>
      <c r="H42" s="229">
        <f>SUM(H39:H41)</f>
        <v>542.20000000000005</v>
      </c>
      <c r="I42" s="202"/>
      <c r="J42" s="156"/>
      <c r="K42" s="162"/>
      <c r="L42" s="52"/>
      <c r="M42" s="50"/>
    </row>
    <row r="43" spans="1:13" s="20" customFormat="1" ht="33.75" x14ac:dyDescent="0.2">
      <c r="A43" s="197">
        <v>1</v>
      </c>
      <c r="B43" s="231" t="s">
        <v>109</v>
      </c>
      <c r="C43" s="232" t="s">
        <v>109</v>
      </c>
      <c r="D43" s="233" t="s">
        <v>110</v>
      </c>
      <c r="E43" s="234"/>
      <c r="F43" s="209"/>
      <c r="G43" s="382"/>
      <c r="H43" s="207"/>
      <c r="I43" s="202"/>
      <c r="J43" s="156"/>
      <c r="K43" s="162"/>
      <c r="L43" s="52"/>
      <c r="M43" s="50"/>
    </row>
    <row r="44" spans="1:13" s="20" customFormat="1" ht="33.75" x14ac:dyDescent="0.2">
      <c r="A44" s="197">
        <v>1</v>
      </c>
      <c r="B44" s="235"/>
      <c r="C44" s="236"/>
      <c r="D44" s="237"/>
      <c r="E44" s="238">
        <v>11</v>
      </c>
      <c r="F44" s="224" t="s">
        <v>111</v>
      </c>
      <c r="G44" s="214" t="s">
        <v>19</v>
      </c>
      <c r="H44" s="219">
        <f>4050-250-1272-221.4+1493.4</f>
        <v>3800</v>
      </c>
      <c r="I44" s="202" t="s">
        <v>49</v>
      </c>
      <c r="J44" s="162" t="s">
        <v>112</v>
      </c>
      <c r="K44" s="853" t="s">
        <v>113</v>
      </c>
      <c r="L44" s="156">
        <v>754</v>
      </c>
      <c r="M44" s="50"/>
    </row>
    <row r="45" spans="1:13" s="20" customFormat="1" ht="33.75" x14ac:dyDescent="0.2">
      <c r="A45" s="197">
        <v>1</v>
      </c>
      <c r="B45" s="208"/>
      <c r="C45" s="239"/>
      <c r="D45" s="237"/>
      <c r="E45" s="238">
        <v>11</v>
      </c>
      <c r="F45" s="224" t="s">
        <v>111</v>
      </c>
      <c r="G45" s="210" t="s">
        <v>75</v>
      </c>
      <c r="H45" s="219">
        <f>1493.4-1493.4</f>
        <v>0</v>
      </c>
      <c r="I45" s="202"/>
      <c r="J45" s="162" t="s">
        <v>112</v>
      </c>
      <c r="K45" s="853" t="s">
        <v>114</v>
      </c>
      <c r="L45" s="156">
        <v>302</v>
      </c>
      <c r="M45" s="50"/>
    </row>
    <row r="46" spans="1:13" s="20" customFormat="1" ht="22.5" x14ac:dyDescent="0.2">
      <c r="A46" s="197">
        <v>1</v>
      </c>
      <c r="B46" s="208"/>
      <c r="C46" s="239"/>
      <c r="D46" s="237"/>
      <c r="E46" s="238">
        <v>11</v>
      </c>
      <c r="F46" s="224" t="s">
        <v>111</v>
      </c>
      <c r="G46" s="214" t="s">
        <v>23</v>
      </c>
      <c r="H46" s="219"/>
      <c r="I46" s="202"/>
      <c r="J46" s="162" t="s">
        <v>112</v>
      </c>
      <c r="K46" s="786" t="s">
        <v>115</v>
      </c>
      <c r="L46" s="156">
        <v>171</v>
      </c>
      <c r="M46" s="50"/>
    </row>
    <row r="47" spans="1:13" s="20" customFormat="1" ht="22.5" x14ac:dyDescent="0.2">
      <c r="A47" s="197">
        <v>1</v>
      </c>
      <c r="B47" s="208"/>
      <c r="C47" s="239"/>
      <c r="D47" s="237"/>
      <c r="E47" s="238">
        <v>11</v>
      </c>
      <c r="F47" s="224" t="s">
        <v>111</v>
      </c>
      <c r="G47" s="214" t="s">
        <v>21</v>
      </c>
      <c r="H47" s="219"/>
      <c r="I47" s="202"/>
      <c r="J47" s="162" t="s">
        <v>112</v>
      </c>
      <c r="K47" s="786" t="s">
        <v>116</v>
      </c>
      <c r="L47" s="156">
        <v>243</v>
      </c>
      <c r="M47" s="50"/>
    </row>
    <row r="48" spans="1:13" s="20" customFormat="1" ht="33.75" x14ac:dyDescent="0.2">
      <c r="A48" s="197">
        <v>1</v>
      </c>
      <c r="B48" s="208"/>
      <c r="C48" s="239"/>
      <c r="D48" s="237"/>
      <c r="E48" s="240">
        <v>11</v>
      </c>
      <c r="F48" s="224" t="s">
        <v>111</v>
      </c>
      <c r="G48" s="210" t="s">
        <v>16</v>
      </c>
      <c r="H48" s="219">
        <v>3564.6</v>
      </c>
      <c r="I48" s="202"/>
      <c r="J48" s="162" t="s">
        <v>117</v>
      </c>
      <c r="K48" s="786" t="s">
        <v>118</v>
      </c>
      <c r="L48" s="156">
        <v>14</v>
      </c>
      <c r="M48" s="50"/>
    </row>
    <row r="49" spans="1:13" s="20" customFormat="1" ht="45" customHeight="1" x14ac:dyDescent="0.2">
      <c r="A49" s="197">
        <v>1</v>
      </c>
      <c r="B49" s="208"/>
      <c r="C49" s="208"/>
      <c r="D49" s="241"/>
      <c r="E49" s="240">
        <v>11</v>
      </c>
      <c r="F49" s="224" t="s">
        <v>111</v>
      </c>
      <c r="G49" s="210" t="s">
        <v>17</v>
      </c>
      <c r="H49" s="219">
        <v>3.8</v>
      </c>
      <c r="I49" s="202"/>
      <c r="J49" s="162" t="s">
        <v>117</v>
      </c>
      <c r="K49" s="162" t="s">
        <v>119</v>
      </c>
      <c r="L49" s="52">
        <v>18</v>
      </c>
      <c r="M49" s="50"/>
    </row>
    <row r="50" spans="1:13" s="20" customFormat="1" ht="15.75" customHeight="1" x14ac:dyDescent="0.2">
      <c r="A50" s="197">
        <v>1</v>
      </c>
      <c r="B50" s="208"/>
      <c r="C50" s="208"/>
      <c r="D50" s="225"/>
      <c r="E50" s="240"/>
      <c r="F50" s="224" t="s">
        <v>111</v>
      </c>
      <c r="G50" s="213" t="s">
        <v>24</v>
      </c>
      <c r="H50" s="220">
        <f>SUM(H44:H49)</f>
        <v>7368.4000000000005</v>
      </c>
      <c r="I50" s="202"/>
      <c r="J50" s="156"/>
      <c r="K50" s="162"/>
      <c r="L50" s="52"/>
      <c r="M50" s="50"/>
    </row>
    <row r="51" spans="1:13" s="20" customFormat="1" ht="23.25" customHeight="1" x14ac:dyDescent="0.2">
      <c r="A51" s="197">
        <v>1</v>
      </c>
      <c r="B51" s="231" t="s">
        <v>120</v>
      </c>
      <c r="C51" s="231" t="s">
        <v>120</v>
      </c>
      <c r="D51" s="242" t="s">
        <v>121</v>
      </c>
      <c r="E51" s="210">
        <v>11</v>
      </c>
      <c r="F51" s="210"/>
      <c r="G51" s="382"/>
      <c r="H51" s="207"/>
      <c r="I51" s="202"/>
      <c r="J51" s="156"/>
      <c r="K51" s="162"/>
      <c r="L51" s="52"/>
      <c r="M51" s="50"/>
    </row>
    <row r="52" spans="1:13" s="20" customFormat="1" ht="46.5" customHeight="1" x14ac:dyDescent="0.2">
      <c r="A52" s="197">
        <v>1</v>
      </c>
      <c r="B52" s="243"/>
      <c r="C52" s="243" t="s">
        <v>122</v>
      </c>
      <c r="D52" s="867" t="s">
        <v>123</v>
      </c>
      <c r="E52" s="210">
        <v>11</v>
      </c>
      <c r="F52" s="210" t="s">
        <v>124</v>
      </c>
      <c r="G52" s="212" t="s">
        <v>19</v>
      </c>
      <c r="H52" s="219">
        <f>60-10</f>
        <v>50</v>
      </c>
      <c r="I52" s="202" t="s">
        <v>49</v>
      </c>
      <c r="J52" s="162" t="s">
        <v>125</v>
      </c>
      <c r="K52" s="162" t="s">
        <v>126</v>
      </c>
      <c r="L52" s="52">
        <v>5</v>
      </c>
      <c r="M52" s="50"/>
    </row>
    <row r="53" spans="1:13" s="20" customFormat="1" ht="17.25" customHeight="1" x14ac:dyDescent="0.2">
      <c r="A53" s="197">
        <v>1</v>
      </c>
      <c r="B53" s="243"/>
      <c r="C53" s="243"/>
      <c r="D53" s="244"/>
      <c r="E53" s="210"/>
      <c r="F53" s="210" t="s">
        <v>124</v>
      </c>
      <c r="G53" s="213" t="s">
        <v>24</v>
      </c>
      <c r="H53" s="220">
        <f>SUM(H52:H52)</f>
        <v>50</v>
      </c>
      <c r="I53" s="202"/>
      <c r="J53" s="156"/>
      <c r="K53" s="162"/>
      <c r="L53" s="52"/>
      <c r="M53" s="50"/>
    </row>
    <row r="54" spans="1:13" s="20" customFormat="1" ht="22.5" x14ac:dyDescent="0.2">
      <c r="A54" s="197">
        <v>1</v>
      </c>
      <c r="B54" s="243"/>
      <c r="C54" s="243" t="s">
        <v>129</v>
      </c>
      <c r="D54" s="209" t="s">
        <v>130</v>
      </c>
      <c r="E54" s="215" t="s">
        <v>47</v>
      </c>
      <c r="F54" s="210" t="s">
        <v>131</v>
      </c>
      <c r="G54" s="210" t="s">
        <v>21</v>
      </c>
      <c r="H54" s="219">
        <v>461.7</v>
      </c>
      <c r="I54" s="202"/>
      <c r="J54" s="786" t="s">
        <v>125</v>
      </c>
      <c r="K54" s="786" t="s">
        <v>132</v>
      </c>
      <c r="L54" s="52">
        <v>76</v>
      </c>
      <c r="M54" s="50"/>
    </row>
    <row r="55" spans="1:13" s="20" customFormat="1" ht="11.25" x14ac:dyDescent="0.2">
      <c r="A55" s="197">
        <v>1</v>
      </c>
      <c r="B55" s="243"/>
      <c r="C55" s="243"/>
      <c r="D55" s="209"/>
      <c r="E55" s="215" t="s">
        <v>47</v>
      </c>
      <c r="F55" s="210" t="s">
        <v>131</v>
      </c>
      <c r="G55" s="214" t="s">
        <v>19</v>
      </c>
      <c r="H55" s="219">
        <v>50</v>
      </c>
      <c r="I55" s="202"/>
      <c r="J55" s="156"/>
      <c r="K55" s="162"/>
      <c r="L55" s="52"/>
      <c r="M55" s="50"/>
    </row>
    <row r="56" spans="1:13" s="20" customFormat="1" ht="11.25" x14ac:dyDescent="0.2">
      <c r="A56" s="197">
        <v>1</v>
      </c>
      <c r="B56" s="243"/>
      <c r="C56" s="243"/>
      <c r="D56" s="209"/>
      <c r="E56" s="215" t="s">
        <v>47</v>
      </c>
      <c r="F56" s="210" t="s">
        <v>131</v>
      </c>
      <c r="G56" s="213" t="s">
        <v>24</v>
      </c>
      <c r="H56" s="220">
        <f>SUM(H54:H55)</f>
        <v>511.7</v>
      </c>
      <c r="I56" s="202"/>
      <c r="J56" s="156"/>
      <c r="K56" s="162"/>
      <c r="L56" s="52"/>
      <c r="M56" s="50"/>
    </row>
    <row r="57" spans="1:13" s="20" customFormat="1" ht="22.5" x14ac:dyDescent="0.2">
      <c r="A57" s="197">
        <v>1</v>
      </c>
      <c r="B57" s="243"/>
      <c r="C57" s="243" t="s">
        <v>133</v>
      </c>
      <c r="D57" s="209" t="s">
        <v>134</v>
      </c>
      <c r="E57" s="215" t="s">
        <v>47</v>
      </c>
      <c r="F57" s="214" t="s">
        <v>135</v>
      </c>
      <c r="G57" s="214" t="s">
        <v>19</v>
      </c>
      <c r="H57" s="219">
        <f>100+30</f>
        <v>130</v>
      </c>
      <c r="I57" s="202" t="s">
        <v>64</v>
      </c>
      <c r="J57" s="786" t="s">
        <v>125</v>
      </c>
      <c r="K57" s="786" t="s">
        <v>136</v>
      </c>
      <c r="L57" s="52">
        <v>35</v>
      </c>
      <c r="M57" s="50"/>
    </row>
    <row r="58" spans="1:13" s="20" customFormat="1" ht="11.25" x14ac:dyDescent="0.2">
      <c r="A58" s="197">
        <v>1</v>
      </c>
      <c r="B58" s="243"/>
      <c r="C58" s="243"/>
      <c r="D58" s="209"/>
      <c r="E58" s="215" t="s">
        <v>47</v>
      </c>
      <c r="F58" s="214" t="s">
        <v>135</v>
      </c>
      <c r="G58" s="213" t="s">
        <v>24</v>
      </c>
      <c r="H58" s="220">
        <f>SUM(H57:H57)</f>
        <v>130</v>
      </c>
      <c r="I58" s="202"/>
      <c r="J58" s="156"/>
      <c r="K58" s="162"/>
      <c r="L58" s="52"/>
      <c r="M58" s="50"/>
    </row>
    <row r="59" spans="1:13" s="20" customFormat="1" ht="22.5" x14ac:dyDescent="0.2">
      <c r="A59" s="197">
        <v>1</v>
      </c>
      <c r="B59" s="243"/>
      <c r="C59" s="243" t="s">
        <v>137</v>
      </c>
      <c r="D59" s="209" t="s">
        <v>138</v>
      </c>
      <c r="E59" s="210">
        <v>11</v>
      </c>
      <c r="F59" s="210" t="s">
        <v>139</v>
      </c>
      <c r="G59" s="214" t="s">
        <v>19</v>
      </c>
      <c r="H59" s="219">
        <v>22.1</v>
      </c>
      <c r="I59" s="202" t="s">
        <v>64</v>
      </c>
      <c r="J59" s="859" t="s">
        <v>107</v>
      </c>
      <c r="K59" s="786" t="s">
        <v>140</v>
      </c>
      <c r="L59" s="52">
        <v>6</v>
      </c>
      <c r="M59" s="50"/>
    </row>
    <row r="60" spans="1:13" s="20" customFormat="1" ht="11.25" x14ac:dyDescent="0.2">
      <c r="A60" s="197">
        <v>1</v>
      </c>
      <c r="B60" s="243"/>
      <c r="C60" s="243"/>
      <c r="D60" s="209"/>
      <c r="E60" s="210">
        <v>11</v>
      </c>
      <c r="F60" s="210" t="s">
        <v>139</v>
      </c>
      <c r="G60" s="213" t="s">
        <v>24</v>
      </c>
      <c r="H60" s="220">
        <f>SUM(H59)</f>
        <v>22.1</v>
      </c>
      <c r="I60" s="202"/>
      <c r="J60" s="156"/>
      <c r="K60" s="162"/>
      <c r="L60" s="52"/>
      <c r="M60" s="50"/>
    </row>
    <row r="61" spans="1:13" s="20" customFormat="1" ht="50.25" customHeight="1" x14ac:dyDescent="0.2">
      <c r="A61" s="197">
        <v>1</v>
      </c>
      <c r="B61" s="243"/>
      <c r="C61" s="243" t="s">
        <v>141</v>
      </c>
      <c r="D61" s="1010" t="s">
        <v>142</v>
      </c>
      <c r="E61" s="210">
        <v>11</v>
      </c>
      <c r="F61" s="214" t="s">
        <v>143</v>
      </c>
      <c r="G61" s="214" t="s">
        <v>19</v>
      </c>
      <c r="H61" s="219">
        <v>28</v>
      </c>
      <c r="I61" s="202" t="s">
        <v>64</v>
      </c>
      <c r="J61" s="859" t="s">
        <v>144</v>
      </c>
      <c r="K61" s="869" t="s">
        <v>145</v>
      </c>
      <c r="L61" s="156" t="s">
        <v>146</v>
      </c>
      <c r="M61" s="50"/>
    </row>
    <row r="62" spans="1:13" s="20" customFormat="1" ht="26.45" customHeight="1" x14ac:dyDescent="0.2">
      <c r="A62" s="197">
        <v>1</v>
      </c>
      <c r="B62" s="243"/>
      <c r="C62" s="243"/>
      <c r="D62" s="1011"/>
      <c r="E62" s="210">
        <v>11</v>
      </c>
      <c r="F62" s="214" t="s">
        <v>143</v>
      </c>
      <c r="G62" s="210" t="s">
        <v>56</v>
      </c>
      <c r="H62" s="219"/>
      <c r="I62" s="202"/>
      <c r="J62" s="862"/>
      <c r="K62" s="786"/>
      <c r="L62" s="52"/>
      <c r="M62" s="50"/>
    </row>
    <row r="63" spans="1:13" s="20" customFormat="1" ht="11.25" customHeight="1" x14ac:dyDescent="0.2">
      <c r="A63" s="197">
        <v>1</v>
      </c>
      <c r="B63" s="243"/>
      <c r="C63" s="243"/>
      <c r="D63" s="1011"/>
      <c r="E63" s="210">
        <v>11</v>
      </c>
      <c r="F63" s="214" t="s">
        <v>143</v>
      </c>
      <c r="G63" s="210" t="s">
        <v>59</v>
      </c>
      <c r="H63" s="219"/>
      <c r="I63" s="202"/>
      <c r="J63" s="156"/>
      <c r="K63" s="162"/>
      <c r="L63" s="52"/>
      <c r="M63" s="50"/>
    </row>
    <row r="64" spans="1:13" s="20" customFormat="1" ht="11.25" x14ac:dyDescent="0.2">
      <c r="A64" s="197">
        <v>1</v>
      </c>
      <c r="B64" s="243"/>
      <c r="C64" s="243"/>
      <c r="D64" s="1012"/>
      <c r="E64" s="210">
        <v>11</v>
      </c>
      <c r="F64" s="214" t="s">
        <v>143</v>
      </c>
      <c r="G64" s="213" t="s">
        <v>24</v>
      </c>
      <c r="H64" s="220">
        <f>SUM(H61:H63)</f>
        <v>28</v>
      </c>
      <c r="I64" s="202"/>
      <c r="J64" s="156"/>
      <c r="K64" s="162"/>
      <c r="L64" s="52"/>
      <c r="M64" s="50"/>
    </row>
    <row r="65" spans="1:13" s="20" customFormat="1" ht="56.25" x14ac:dyDescent="0.2">
      <c r="A65" s="197">
        <v>1</v>
      </c>
      <c r="B65" s="243"/>
      <c r="C65" s="243" t="s">
        <v>147</v>
      </c>
      <c r="D65" s="209" t="s">
        <v>148</v>
      </c>
      <c r="E65" s="210">
        <v>11</v>
      </c>
      <c r="F65" s="214" t="s">
        <v>149</v>
      </c>
      <c r="G65" s="214" t="s">
        <v>19</v>
      </c>
      <c r="H65" s="219">
        <v>50</v>
      </c>
      <c r="I65" s="202" t="s">
        <v>64</v>
      </c>
      <c r="J65" s="859" t="s">
        <v>57</v>
      </c>
      <c r="K65" s="786" t="s">
        <v>150</v>
      </c>
      <c r="L65" s="156" t="s">
        <v>151</v>
      </c>
      <c r="M65" s="50"/>
    </row>
    <row r="66" spans="1:13" s="20" customFormat="1" ht="11.25" x14ac:dyDescent="0.2">
      <c r="A66" s="197">
        <v>1</v>
      </c>
      <c r="B66" s="243"/>
      <c r="C66" s="243"/>
      <c r="D66" s="209"/>
      <c r="E66" s="210">
        <v>11</v>
      </c>
      <c r="F66" s="214" t="s">
        <v>149</v>
      </c>
      <c r="G66" s="213" t="s">
        <v>24</v>
      </c>
      <c r="H66" s="220">
        <f>SUM(H65:H65)</f>
        <v>50</v>
      </c>
      <c r="I66" s="202"/>
      <c r="J66" s="156"/>
      <c r="K66" s="162"/>
      <c r="L66" s="52"/>
      <c r="M66" s="50"/>
    </row>
    <row r="67" spans="1:13" s="20" customFormat="1" ht="33.75" x14ac:dyDescent="0.2">
      <c r="A67" s="197">
        <v>1</v>
      </c>
      <c r="B67" s="231" t="s">
        <v>152</v>
      </c>
      <c r="C67" s="231" t="s">
        <v>152</v>
      </c>
      <c r="D67" s="242" t="s">
        <v>153</v>
      </c>
      <c r="E67" s="210"/>
      <c r="F67" s="210"/>
      <c r="G67" s="382"/>
      <c r="H67" s="207"/>
      <c r="I67" s="202"/>
      <c r="J67" s="156"/>
      <c r="K67" s="162"/>
      <c r="L67" s="52"/>
      <c r="M67" s="50"/>
    </row>
    <row r="68" spans="1:13" s="20" customFormat="1" ht="33.75" x14ac:dyDescent="0.2">
      <c r="A68" s="197">
        <v>1</v>
      </c>
      <c r="B68" s="243"/>
      <c r="C68" s="243" t="s">
        <v>154</v>
      </c>
      <c r="D68" s="245" t="s">
        <v>155</v>
      </c>
      <c r="E68" s="246" t="s">
        <v>47</v>
      </c>
      <c r="F68" s="210" t="s">
        <v>156</v>
      </c>
      <c r="G68" s="214" t="s">
        <v>19</v>
      </c>
      <c r="H68" s="219">
        <v>100</v>
      </c>
      <c r="I68" s="202" t="s">
        <v>64</v>
      </c>
      <c r="J68" s="787" t="s">
        <v>107</v>
      </c>
      <c r="K68" s="786" t="s">
        <v>157</v>
      </c>
      <c r="L68" s="52">
        <v>36</v>
      </c>
      <c r="M68" s="50"/>
    </row>
    <row r="69" spans="1:13" s="20" customFormat="1" ht="11.25" x14ac:dyDescent="0.2">
      <c r="A69" s="197">
        <v>1</v>
      </c>
      <c r="B69" s="243"/>
      <c r="C69" s="243"/>
      <c r="D69" s="209"/>
      <c r="E69" s="247"/>
      <c r="F69" s="210" t="s">
        <v>156</v>
      </c>
      <c r="G69" s="213" t="s">
        <v>24</v>
      </c>
      <c r="H69" s="220">
        <f>SUM(H68:H68)</f>
        <v>100</v>
      </c>
      <c r="I69" s="202"/>
      <c r="J69" s="156"/>
      <c r="K69" s="162"/>
      <c r="L69" s="52"/>
      <c r="M69" s="50"/>
    </row>
    <row r="70" spans="1:13" s="20" customFormat="1" ht="22.5" x14ac:dyDescent="0.2">
      <c r="A70" s="197">
        <v>1</v>
      </c>
      <c r="B70" s="198"/>
      <c r="C70" s="198"/>
      <c r="D70" s="199" t="s">
        <v>158</v>
      </c>
      <c r="E70" s="200"/>
      <c r="F70" s="201"/>
      <c r="G70" s="200"/>
      <c r="H70" s="200"/>
      <c r="I70" s="202"/>
      <c r="J70" s="156"/>
      <c r="K70" s="162"/>
      <c r="L70" s="52"/>
      <c r="M70" s="50"/>
    </row>
    <row r="71" spans="1:13" s="20" customFormat="1" ht="24.6" customHeight="1" x14ac:dyDescent="0.2">
      <c r="A71" s="197">
        <v>1</v>
      </c>
      <c r="B71" s="231" t="s">
        <v>159</v>
      </c>
      <c r="C71" s="231" t="s">
        <v>159</v>
      </c>
      <c r="D71" s="204" t="s">
        <v>160</v>
      </c>
      <c r="E71" s="248"/>
      <c r="F71" s="210"/>
      <c r="G71" s="207"/>
      <c r="H71" s="207">
        <f>H73</f>
        <v>200</v>
      </c>
      <c r="I71" s="202"/>
      <c r="J71" s="156"/>
      <c r="K71" s="162"/>
      <c r="L71" s="52"/>
      <c r="M71" s="50"/>
    </row>
    <row r="72" spans="1:13" s="20" customFormat="1" ht="14.25" customHeight="1" x14ac:dyDescent="0.2">
      <c r="A72" s="197">
        <v>1</v>
      </c>
      <c r="B72" s="235"/>
      <c r="C72" s="235"/>
      <c r="D72" s="235"/>
      <c r="E72" s="248">
        <v>11</v>
      </c>
      <c r="F72" s="215" t="s">
        <v>161</v>
      </c>
      <c r="G72" s="214" t="s">
        <v>19</v>
      </c>
      <c r="H72" s="219">
        <v>200</v>
      </c>
      <c r="I72" s="202" t="s">
        <v>64</v>
      </c>
      <c r="J72" s="787" t="s">
        <v>50</v>
      </c>
      <c r="K72" s="786" t="s">
        <v>162</v>
      </c>
      <c r="L72" s="52">
        <v>2</v>
      </c>
      <c r="M72" s="50"/>
    </row>
    <row r="73" spans="1:13" s="20" customFormat="1" ht="15.6" customHeight="1" x14ac:dyDescent="0.2">
      <c r="A73" s="197">
        <v>1</v>
      </c>
      <c r="B73" s="243"/>
      <c r="C73" s="243"/>
      <c r="D73" s="209"/>
      <c r="E73" s="249"/>
      <c r="F73" s="215" t="s">
        <v>161</v>
      </c>
      <c r="G73" s="250" t="s">
        <v>163</v>
      </c>
      <c r="H73" s="220">
        <f>SUM(H72:H72)</f>
        <v>200</v>
      </c>
      <c r="I73" s="202"/>
      <c r="J73" s="156"/>
      <c r="K73" s="162"/>
      <c r="L73" s="52"/>
      <c r="M73" s="50"/>
    </row>
    <row r="74" spans="1:13" s="20" customFormat="1" ht="33.75" x14ac:dyDescent="0.2">
      <c r="A74" s="197">
        <v>1</v>
      </c>
      <c r="B74" s="231" t="s">
        <v>164</v>
      </c>
      <c r="C74" s="231" t="s">
        <v>164</v>
      </c>
      <c r="D74" s="242" t="s">
        <v>165</v>
      </c>
      <c r="E74" s="249"/>
      <c r="F74" s="210"/>
      <c r="G74" s="260"/>
      <c r="H74" s="207"/>
      <c r="I74" s="202"/>
      <c r="J74" s="156"/>
      <c r="K74" s="162"/>
      <c r="L74" s="52"/>
      <c r="M74" s="50"/>
    </row>
    <row r="75" spans="1:13" s="20" customFormat="1" ht="29.25" x14ac:dyDescent="0.2">
      <c r="A75" s="197">
        <v>1</v>
      </c>
      <c r="B75" s="243"/>
      <c r="C75" s="243"/>
      <c r="D75" s="209"/>
      <c r="E75" s="215" t="s">
        <v>47</v>
      </c>
      <c r="F75" s="215" t="s">
        <v>166</v>
      </c>
      <c r="G75" s="214" t="s">
        <v>19</v>
      </c>
      <c r="H75" s="219">
        <f>1500-200-714.7-246.3-109.7-56.3+26.4+85.4</f>
        <v>284.79999999999995</v>
      </c>
      <c r="I75" s="202"/>
      <c r="J75" s="870" t="s">
        <v>50</v>
      </c>
      <c r="K75" s="871" t="s">
        <v>172</v>
      </c>
      <c r="L75" s="785">
        <v>1</v>
      </c>
      <c r="M75" s="47"/>
    </row>
    <row r="76" spans="1:13" s="20" customFormat="1" ht="16.5" customHeight="1" x14ac:dyDescent="0.2">
      <c r="A76" s="197">
        <v>1</v>
      </c>
      <c r="B76" s="243"/>
      <c r="C76" s="243"/>
      <c r="D76" s="209"/>
      <c r="E76" s="251"/>
      <c r="F76" s="215"/>
      <c r="G76" s="214"/>
      <c r="H76" s="220">
        <f>SUM(H75:H75)</f>
        <v>284.79999999999995</v>
      </c>
      <c r="I76" s="202" t="s">
        <v>64</v>
      </c>
      <c r="J76" s="156"/>
      <c r="K76" s="162"/>
      <c r="L76" s="52"/>
      <c r="M76" s="47"/>
    </row>
    <row r="77" spans="1:13" s="20" customFormat="1" ht="24.6" customHeight="1" x14ac:dyDescent="0.2">
      <c r="A77" s="197">
        <v>1</v>
      </c>
      <c r="B77" s="231" t="s">
        <v>173</v>
      </c>
      <c r="C77" s="231" t="s">
        <v>173</v>
      </c>
      <c r="D77" s="242" t="s">
        <v>174</v>
      </c>
      <c r="E77" s="252"/>
      <c r="F77" s="253"/>
      <c r="G77" s="253"/>
      <c r="H77" s="254">
        <f>SUM(H88,H130,H93,H97,H119,H101,H106,H116,H139,H110,H126,H133,H114)</f>
        <v>15235.900000000001</v>
      </c>
      <c r="I77" s="202"/>
      <c r="J77" s="156"/>
      <c r="K77" s="162"/>
      <c r="L77" s="52"/>
      <c r="M77" s="51"/>
    </row>
    <row r="78" spans="1:13" s="20" customFormat="1" ht="11.25" x14ac:dyDescent="0.2">
      <c r="A78" s="197">
        <v>1</v>
      </c>
      <c r="B78" s="255"/>
      <c r="C78" s="255"/>
      <c r="D78" s="256"/>
      <c r="E78" s="255"/>
      <c r="F78" s="257"/>
      <c r="G78" s="258" t="s">
        <v>19</v>
      </c>
      <c r="H78" s="259">
        <f>SUM(H85,H127,H102,H89,H94,H117,H122,H120,H131,H111,H98,H135,H137,H138,H115,H125,H107,H136,H123,H113)</f>
        <v>4128.7000000000007</v>
      </c>
      <c r="I78" s="202"/>
      <c r="J78" s="156"/>
      <c r="K78" s="162"/>
      <c r="L78" s="52"/>
      <c r="M78" s="51"/>
    </row>
    <row r="79" spans="1:13" s="20" customFormat="1" ht="11.25" x14ac:dyDescent="0.2">
      <c r="A79" s="197">
        <v>1</v>
      </c>
      <c r="B79" s="255"/>
      <c r="C79" s="255"/>
      <c r="D79" s="256"/>
      <c r="E79" s="255"/>
      <c r="F79" s="257"/>
      <c r="G79" s="258" t="s">
        <v>56</v>
      </c>
      <c r="H79" s="259">
        <f>SUM(H87,H92,H96,H100,H121,H124,H104)</f>
        <v>7524.3</v>
      </c>
      <c r="I79" s="202"/>
      <c r="J79" s="156"/>
      <c r="K79" s="162"/>
      <c r="L79" s="52"/>
      <c r="M79" s="51"/>
    </row>
    <row r="80" spans="1:13" s="20" customFormat="1" ht="11.25" x14ac:dyDescent="0.2">
      <c r="A80" s="197">
        <v>1</v>
      </c>
      <c r="B80" s="255"/>
      <c r="C80" s="255"/>
      <c r="D80" s="256"/>
      <c r="E80" s="255"/>
      <c r="F80" s="257"/>
      <c r="G80" s="258" t="s">
        <v>21</v>
      </c>
      <c r="H80" s="259">
        <f>SUM(H128,H132)</f>
        <v>80</v>
      </c>
      <c r="I80" s="202"/>
      <c r="J80" s="156"/>
      <c r="K80" s="162"/>
      <c r="L80" s="52"/>
      <c r="M80" s="51"/>
    </row>
    <row r="81" spans="1:13" s="20" customFormat="1" ht="11.25" x14ac:dyDescent="0.2">
      <c r="A81" s="197">
        <v>1</v>
      </c>
      <c r="B81" s="255"/>
      <c r="C81" s="255"/>
      <c r="D81" s="256"/>
      <c r="E81" s="255"/>
      <c r="F81" s="257"/>
      <c r="G81" s="258" t="s">
        <v>175</v>
      </c>
      <c r="H81" s="259">
        <f>H129</f>
        <v>1.1000000000000001</v>
      </c>
      <c r="I81" s="202"/>
      <c r="J81" s="156"/>
      <c r="K81" s="162"/>
      <c r="L81" s="52"/>
      <c r="M81" s="51"/>
    </row>
    <row r="82" spans="1:13" s="20" customFormat="1" ht="11.25" x14ac:dyDescent="0.2">
      <c r="A82" s="197">
        <v>1</v>
      </c>
      <c r="B82" s="255"/>
      <c r="C82" s="255"/>
      <c r="D82" s="256"/>
      <c r="E82" s="255"/>
      <c r="F82" s="257"/>
      <c r="G82" s="258" t="s">
        <v>176</v>
      </c>
      <c r="H82" s="259">
        <f>SUM(H86,H91,H95,H99)</f>
        <v>1301.8</v>
      </c>
      <c r="I82" s="202"/>
      <c r="J82" s="156"/>
      <c r="K82" s="162"/>
      <c r="L82" s="52"/>
      <c r="M82" s="51"/>
    </row>
    <row r="83" spans="1:13" s="20" customFormat="1" ht="11.25" x14ac:dyDescent="0.2">
      <c r="A83" s="197">
        <v>1</v>
      </c>
      <c r="B83" s="255"/>
      <c r="C83" s="255"/>
      <c r="D83" s="256"/>
      <c r="E83" s="255"/>
      <c r="F83" s="257"/>
      <c r="G83" s="258" t="s">
        <v>177</v>
      </c>
      <c r="H83" s="259">
        <f>H105+H90+H112+H108</f>
        <v>900</v>
      </c>
      <c r="I83" s="202"/>
      <c r="J83" s="156"/>
      <c r="K83" s="162"/>
      <c r="L83" s="52"/>
      <c r="M83" s="51"/>
    </row>
    <row r="84" spans="1:13" s="20" customFormat="1" ht="11.25" x14ac:dyDescent="0.2">
      <c r="A84" s="197">
        <v>1</v>
      </c>
      <c r="B84" s="255"/>
      <c r="C84" s="255"/>
      <c r="D84" s="256"/>
      <c r="E84" s="255"/>
      <c r="F84" s="257"/>
      <c r="G84" s="258" t="s">
        <v>75</v>
      </c>
      <c r="H84" s="259">
        <f>SUM(H109)</f>
        <v>0</v>
      </c>
      <c r="I84" s="202"/>
      <c r="J84" s="156"/>
      <c r="K84" s="162"/>
      <c r="L84" s="52"/>
      <c r="M84" s="51"/>
    </row>
    <row r="85" spans="1:13" s="20" customFormat="1" ht="33.75" x14ac:dyDescent="0.2">
      <c r="A85" s="197">
        <v>1</v>
      </c>
      <c r="B85" s="243"/>
      <c r="C85" s="243" t="s">
        <v>178</v>
      </c>
      <c r="D85" s="256" t="s">
        <v>179</v>
      </c>
      <c r="E85" s="260">
        <v>9</v>
      </c>
      <c r="F85" s="261" t="s">
        <v>180</v>
      </c>
      <c r="G85" s="212" t="s">
        <v>19</v>
      </c>
      <c r="H85" s="219"/>
      <c r="I85" s="202" t="s">
        <v>181</v>
      </c>
      <c r="J85" s="787" t="s">
        <v>2107</v>
      </c>
      <c r="K85" s="786" t="s">
        <v>182</v>
      </c>
      <c r="L85" s="52">
        <v>100</v>
      </c>
      <c r="M85" s="47" t="s">
        <v>183</v>
      </c>
    </row>
    <row r="86" spans="1:13" s="20" customFormat="1" ht="11.25" customHeight="1" x14ac:dyDescent="0.2">
      <c r="A86" s="197">
        <v>1</v>
      </c>
      <c r="B86" s="243"/>
      <c r="C86" s="243"/>
      <c r="D86" s="256"/>
      <c r="E86" s="260">
        <v>9</v>
      </c>
      <c r="F86" s="261" t="s">
        <v>180</v>
      </c>
      <c r="G86" s="212" t="s">
        <v>176</v>
      </c>
      <c r="H86" s="219">
        <f>349.5+47.7+125.6</f>
        <v>522.79999999999995</v>
      </c>
      <c r="I86" s="202" t="s">
        <v>181</v>
      </c>
      <c r="J86" s="787" t="s">
        <v>2107</v>
      </c>
      <c r="K86" s="853"/>
      <c r="L86" s="785"/>
      <c r="M86" s="47" t="s">
        <v>183</v>
      </c>
    </row>
    <row r="87" spans="1:13" s="20" customFormat="1" ht="11.25" customHeight="1" x14ac:dyDescent="0.2">
      <c r="A87" s="197">
        <v>1</v>
      </c>
      <c r="B87" s="243"/>
      <c r="C87" s="243"/>
      <c r="D87" s="256"/>
      <c r="E87" s="260">
        <v>9</v>
      </c>
      <c r="F87" s="261" t="s">
        <v>180</v>
      </c>
      <c r="G87" s="212" t="s">
        <v>56</v>
      </c>
      <c r="H87" s="219">
        <f>1981+270.3+715.7</f>
        <v>2967</v>
      </c>
      <c r="I87" s="202" t="s">
        <v>181</v>
      </c>
      <c r="J87" s="787" t="s">
        <v>2107</v>
      </c>
      <c r="K87" s="786"/>
      <c r="L87" s="785"/>
      <c r="M87" s="47" t="s">
        <v>183</v>
      </c>
    </row>
    <row r="88" spans="1:13" s="20" customFormat="1" ht="11.25" x14ac:dyDescent="0.2">
      <c r="A88" s="197">
        <v>1</v>
      </c>
      <c r="B88" s="243"/>
      <c r="C88" s="243"/>
      <c r="D88" s="256"/>
      <c r="E88" s="260">
        <v>9</v>
      </c>
      <c r="F88" s="261" t="s">
        <v>180</v>
      </c>
      <c r="G88" s="213" t="s">
        <v>24</v>
      </c>
      <c r="H88" s="220">
        <f>SUM(H85:H87)</f>
        <v>3489.8</v>
      </c>
      <c r="I88" s="202"/>
      <c r="J88" s="859"/>
      <c r="K88" s="786"/>
      <c r="L88" s="785"/>
      <c r="M88" s="47"/>
    </row>
    <row r="89" spans="1:13" s="20" customFormat="1" ht="22.5" x14ac:dyDescent="0.2">
      <c r="A89" s="197">
        <v>1</v>
      </c>
      <c r="B89" s="243"/>
      <c r="C89" s="243" t="s">
        <v>184</v>
      </c>
      <c r="D89" s="256" t="s">
        <v>185</v>
      </c>
      <c r="E89" s="262">
        <v>9</v>
      </c>
      <c r="F89" s="261" t="s">
        <v>180</v>
      </c>
      <c r="G89" s="263" t="s">
        <v>19</v>
      </c>
      <c r="H89" s="219">
        <f>1074.4-600-300</f>
        <v>174.40000000000009</v>
      </c>
      <c r="I89" s="202" t="s">
        <v>181</v>
      </c>
      <c r="J89" s="787" t="s">
        <v>2027</v>
      </c>
      <c r="K89" s="786" t="s">
        <v>182</v>
      </c>
      <c r="L89" s="52">
        <v>100</v>
      </c>
      <c r="M89" s="47" t="s">
        <v>187</v>
      </c>
    </row>
    <row r="90" spans="1:13" s="20" customFormat="1" ht="11.25" x14ac:dyDescent="0.2">
      <c r="A90" s="197">
        <v>1</v>
      </c>
      <c r="B90" s="243"/>
      <c r="C90" s="243"/>
      <c r="D90" s="256"/>
      <c r="E90" s="262">
        <v>9</v>
      </c>
      <c r="F90" s="261" t="s">
        <v>180</v>
      </c>
      <c r="G90" s="260" t="s">
        <v>177</v>
      </c>
      <c r="H90" s="219">
        <f>600+300</f>
        <v>900</v>
      </c>
      <c r="I90" s="202"/>
      <c r="J90" s="787" t="s">
        <v>2027</v>
      </c>
      <c r="K90" s="162"/>
      <c r="L90" s="52"/>
      <c r="M90" s="47" t="s">
        <v>187</v>
      </c>
    </row>
    <row r="91" spans="1:13" s="20" customFormat="1" ht="11.25" customHeight="1" x14ac:dyDescent="0.2">
      <c r="A91" s="197">
        <v>1</v>
      </c>
      <c r="B91" s="243"/>
      <c r="C91" s="243"/>
      <c r="D91" s="256"/>
      <c r="E91" s="262">
        <v>9</v>
      </c>
      <c r="F91" s="261" t="s">
        <v>180</v>
      </c>
      <c r="G91" s="263" t="s">
        <v>176</v>
      </c>
      <c r="H91" s="219">
        <v>195.8</v>
      </c>
      <c r="I91" s="202" t="s">
        <v>181</v>
      </c>
      <c r="J91" s="787" t="s">
        <v>2027</v>
      </c>
      <c r="K91" s="162"/>
      <c r="L91" s="52"/>
      <c r="M91" s="47" t="s">
        <v>187</v>
      </c>
    </row>
    <row r="92" spans="1:13" s="20" customFormat="1" ht="11.25" customHeight="1" x14ac:dyDescent="0.2">
      <c r="A92" s="197">
        <v>1</v>
      </c>
      <c r="B92" s="243"/>
      <c r="C92" s="243"/>
      <c r="D92" s="256"/>
      <c r="E92" s="262">
        <v>9</v>
      </c>
      <c r="F92" s="261" t="s">
        <v>180</v>
      </c>
      <c r="G92" s="263" t="s">
        <v>56</v>
      </c>
      <c r="H92" s="219">
        <v>1016.5</v>
      </c>
      <c r="I92" s="202" t="s">
        <v>181</v>
      </c>
      <c r="J92" s="787" t="s">
        <v>2027</v>
      </c>
      <c r="K92" s="162"/>
      <c r="L92" s="52"/>
      <c r="M92" s="47" t="s">
        <v>187</v>
      </c>
    </row>
    <row r="93" spans="1:13" s="20" customFormat="1" ht="11.25" x14ac:dyDescent="0.2">
      <c r="A93" s="197">
        <v>1</v>
      </c>
      <c r="B93" s="243"/>
      <c r="C93" s="243"/>
      <c r="D93" s="256"/>
      <c r="E93" s="262">
        <v>9</v>
      </c>
      <c r="F93" s="261" t="s">
        <v>180</v>
      </c>
      <c r="G93" s="213" t="s">
        <v>24</v>
      </c>
      <c r="H93" s="220">
        <f>SUM(H89:H92)</f>
        <v>2286.6999999999998</v>
      </c>
      <c r="I93" s="202"/>
      <c r="J93" s="156"/>
      <c r="K93" s="162"/>
      <c r="L93" s="52"/>
      <c r="M93" s="47"/>
    </row>
    <row r="94" spans="1:13" s="20" customFormat="1" ht="21.6" customHeight="1" x14ac:dyDescent="0.2">
      <c r="A94" s="197">
        <v>1</v>
      </c>
      <c r="B94" s="243"/>
      <c r="C94" s="243" t="s">
        <v>188</v>
      </c>
      <c r="D94" s="256" t="s">
        <v>189</v>
      </c>
      <c r="E94" s="262">
        <v>9</v>
      </c>
      <c r="F94" s="261" t="s">
        <v>180</v>
      </c>
      <c r="G94" s="263" t="s">
        <v>19</v>
      </c>
      <c r="H94" s="219">
        <f>102-68</f>
        <v>34</v>
      </c>
      <c r="I94" s="202" t="s">
        <v>181</v>
      </c>
      <c r="J94" s="787" t="s">
        <v>2107</v>
      </c>
      <c r="K94" s="786" t="s">
        <v>182</v>
      </c>
      <c r="L94" s="52">
        <v>100</v>
      </c>
      <c r="M94" s="47" t="s">
        <v>190</v>
      </c>
    </row>
    <row r="95" spans="1:13" s="20" customFormat="1" ht="11.25" customHeight="1" x14ac:dyDescent="0.2">
      <c r="A95" s="197">
        <v>1</v>
      </c>
      <c r="B95" s="243"/>
      <c r="C95" s="243"/>
      <c r="D95" s="256"/>
      <c r="E95" s="262">
        <v>9</v>
      </c>
      <c r="F95" s="261" t="s">
        <v>180</v>
      </c>
      <c r="G95" s="263" t="s">
        <v>176</v>
      </c>
      <c r="H95" s="219">
        <v>382</v>
      </c>
      <c r="I95" s="202" t="s">
        <v>181</v>
      </c>
      <c r="J95" s="787" t="s">
        <v>2107</v>
      </c>
      <c r="K95" s="162"/>
      <c r="L95" s="52"/>
      <c r="M95" s="47" t="s">
        <v>190</v>
      </c>
    </row>
    <row r="96" spans="1:13" s="20" customFormat="1" ht="11.25" customHeight="1" x14ac:dyDescent="0.2">
      <c r="A96" s="197">
        <v>1</v>
      </c>
      <c r="B96" s="243"/>
      <c r="C96" s="243"/>
      <c r="E96" s="262">
        <v>9</v>
      </c>
      <c r="F96" s="261" t="s">
        <v>180</v>
      </c>
      <c r="G96" s="263" t="s">
        <v>56</v>
      </c>
      <c r="H96" s="219">
        <v>2378.3000000000002</v>
      </c>
      <c r="I96" s="202" t="s">
        <v>181</v>
      </c>
      <c r="J96" s="787" t="s">
        <v>2107</v>
      </c>
      <c r="K96" s="162"/>
      <c r="L96" s="52"/>
      <c r="M96" s="47" t="s">
        <v>190</v>
      </c>
    </row>
    <row r="97" spans="1:13" s="20" customFormat="1" ht="11.25" x14ac:dyDescent="0.2">
      <c r="A97" s="197">
        <v>1</v>
      </c>
      <c r="B97" s="243"/>
      <c r="C97" s="265"/>
      <c r="D97" s="256"/>
      <c r="E97" s="262"/>
      <c r="F97" s="261" t="s">
        <v>180</v>
      </c>
      <c r="G97" s="213" t="s">
        <v>24</v>
      </c>
      <c r="H97" s="220">
        <f>SUM(H94:H96)</f>
        <v>2794.3</v>
      </c>
      <c r="I97" s="202"/>
      <c r="J97" s="156"/>
      <c r="K97" s="162"/>
      <c r="L97" s="52"/>
      <c r="M97" s="47"/>
    </row>
    <row r="98" spans="1:13" s="20" customFormat="1" ht="22.5" x14ac:dyDescent="0.2">
      <c r="A98" s="197">
        <v>1</v>
      </c>
      <c r="B98" s="243"/>
      <c r="C98" s="265" t="s">
        <v>191</v>
      </c>
      <c r="D98" s="266" t="s">
        <v>192</v>
      </c>
      <c r="E98" s="262">
        <v>9</v>
      </c>
      <c r="F98" s="261" t="s">
        <v>180</v>
      </c>
      <c r="G98" s="263" t="s">
        <v>19</v>
      </c>
      <c r="H98" s="219">
        <v>17.899999999999999</v>
      </c>
      <c r="I98" s="202" t="s">
        <v>181</v>
      </c>
      <c r="J98" s="787" t="s">
        <v>2107</v>
      </c>
      <c r="K98" s="786" t="s">
        <v>182</v>
      </c>
      <c r="L98" s="52">
        <v>30</v>
      </c>
      <c r="M98" s="47" t="s">
        <v>67</v>
      </c>
    </row>
    <row r="99" spans="1:13" s="20" customFormat="1" ht="11.25" x14ac:dyDescent="0.2">
      <c r="A99" s="197">
        <v>1</v>
      </c>
      <c r="B99" s="243"/>
      <c r="C99" s="265"/>
      <c r="D99" s="256"/>
      <c r="E99" s="262">
        <v>9</v>
      </c>
      <c r="F99" s="261" t="s">
        <v>180</v>
      </c>
      <c r="G99" s="263" t="s">
        <v>176</v>
      </c>
      <c r="H99" s="219">
        <f>ROUND(804.9/4,1)</f>
        <v>201.2</v>
      </c>
      <c r="I99" s="202" t="s">
        <v>181</v>
      </c>
      <c r="J99" s="787" t="s">
        <v>2107</v>
      </c>
      <c r="K99" s="162"/>
      <c r="L99" s="52"/>
      <c r="M99" s="47" t="s">
        <v>67</v>
      </c>
    </row>
    <row r="100" spans="1:13" s="20" customFormat="1" ht="11.25" x14ac:dyDescent="0.2">
      <c r="A100" s="197">
        <v>1</v>
      </c>
      <c r="B100" s="243"/>
      <c r="C100" s="265"/>
      <c r="D100" s="256"/>
      <c r="E100" s="262">
        <v>9</v>
      </c>
      <c r="F100" s="261" t="s">
        <v>180</v>
      </c>
      <c r="G100" s="263" t="s">
        <v>56</v>
      </c>
      <c r="H100" s="219">
        <f>ROUND(4649.8/4,1)</f>
        <v>1162.5</v>
      </c>
      <c r="I100" s="202" t="s">
        <v>181</v>
      </c>
      <c r="J100" s="787" t="s">
        <v>2107</v>
      </c>
      <c r="K100" s="162"/>
      <c r="L100" s="52"/>
      <c r="M100" s="47" t="s">
        <v>67</v>
      </c>
    </row>
    <row r="101" spans="1:13" s="20" customFormat="1" ht="11.25" x14ac:dyDescent="0.2">
      <c r="A101" s="197">
        <v>1</v>
      </c>
      <c r="B101" s="243"/>
      <c r="C101" s="265"/>
      <c r="D101" s="256"/>
      <c r="E101" s="262">
        <v>9</v>
      </c>
      <c r="F101" s="261" t="s">
        <v>180</v>
      </c>
      <c r="G101" s="213" t="s">
        <v>24</v>
      </c>
      <c r="H101" s="267">
        <f>SUM(H98:H100)</f>
        <v>1381.6</v>
      </c>
      <c r="I101" s="202"/>
      <c r="J101" s="162"/>
      <c r="K101" s="162"/>
      <c r="L101" s="52"/>
      <c r="M101" s="47"/>
    </row>
    <row r="102" spans="1:13" s="20" customFormat="1" ht="22.5" x14ac:dyDescent="0.2">
      <c r="A102" s="197">
        <v>1</v>
      </c>
      <c r="B102" s="243"/>
      <c r="C102" s="243" t="s">
        <v>193</v>
      </c>
      <c r="D102" s="268" t="s">
        <v>194</v>
      </c>
      <c r="E102" s="262">
        <v>9</v>
      </c>
      <c r="F102" s="261" t="s">
        <v>195</v>
      </c>
      <c r="G102" s="212" t="s">
        <v>19</v>
      </c>
      <c r="H102" s="269">
        <v>144.30000000000001</v>
      </c>
      <c r="I102" s="270" t="s">
        <v>196</v>
      </c>
      <c r="J102" s="787" t="s">
        <v>2027</v>
      </c>
      <c r="K102" s="786" t="s">
        <v>197</v>
      </c>
      <c r="L102" s="52">
        <v>1</v>
      </c>
      <c r="M102" s="47" t="s">
        <v>198</v>
      </c>
    </row>
    <row r="103" spans="1:13" s="20" customFormat="1" ht="11.25" x14ac:dyDescent="0.2">
      <c r="A103" s="197">
        <v>1</v>
      </c>
      <c r="B103" s="243"/>
      <c r="C103" s="243"/>
      <c r="D103" s="271"/>
      <c r="E103" s="262">
        <v>9</v>
      </c>
      <c r="F103" s="261" t="s">
        <v>195</v>
      </c>
      <c r="G103" s="211" t="s">
        <v>75</v>
      </c>
      <c r="H103" s="269"/>
      <c r="I103" s="270"/>
      <c r="J103" s="156"/>
      <c r="K103" s="162"/>
      <c r="L103" s="52"/>
      <c r="M103" s="47" t="s">
        <v>198</v>
      </c>
    </row>
    <row r="104" spans="1:13" s="20" customFormat="1" ht="11.25" x14ac:dyDescent="0.2">
      <c r="A104" s="197">
        <v>1</v>
      </c>
      <c r="B104" s="243"/>
      <c r="C104" s="243"/>
      <c r="D104" s="271"/>
      <c r="E104" s="262">
        <v>9</v>
      </c>
      <c r="F104" s="261" t="s">
        <v>195</v>
      </c>
      <c r="G104" s="212" t="s">
        <v>56</v>
      </c>
      <c r="H104" s="269"/>
      <c r="I104" s="270"/>
      <c r="J104" s="156"/>
      <c r="K104" s="162"/>
      <c r="L104" s="52"/>
      <c r="M104" s="47" t="s">
        <v>198</v>
      </c>
    </row>
    <row r="105" spans="1:13" s="20" customFormat="1" ht="13.9" customHeight="1" x14ac:dyDescent="0.2">
      <c r="A105" s="197">
        <v>1</v>
      </c>
      <c r="B105" s="243"/>
      <c r="C105" s="243"/>
      <c r="D105" s="272"/>
      <c r="E105" s="262">
        <v>9</v>
      </c>
      <c r="F105" s="261" t="s">
        <v>195</v>
      </c>
      <c r="G105" s="273" t="s">
        <v>177</v>
      </c>
      <c r="H105" s="269"/>
      <c r="I105" s="270"/>
      <c r="J105" s="156"/>
      <c r="K105" s="162"/>
      <c r="L105" s="52"/>
      <c r="M105" s="47" t="s">
        <v>198</v>
      </c>
    </row>
    <row r="106" spans="1:13" s="20" customFormat="1" ht="11.25" x14ac:dyDescent="0.2">
      <c r="A106" s="197">
        <v>1</v>
      </c>
      <c r="B106" s="243"/>
      <c r="C106" s="243"/>
      <c r="D106" s="256"/>
      <c r="E106" s="262">
        <v>9</v>
      </c>
      <c r="F106" s="261" t="s">
        <v>195</v>
      </c>
      <c r="G106" s="213" t="s">
        <v>24</v>
      </c>
      <c r="H106" s="220">
        <f>SUM(H102:H105)</f>
        <v>144.30000000000001</v>
      </c>
      <c r="I106" s="202"/>
      <c r="J106" s="156"/>
      <c r="K106" s="162"/>
      <c r="L106" s="52"/>
      <c r="M106" s="47"/>
    </row>
    <row r="107" spans="1:13" s="20" customFormat="1" ht="33.75" x14ac:dyDescent="0.2">
      <c r="A107" s="197">
        <v>1</v>
      </c>
      <c r="B107" s="243"/>
      <c r="C107" s="265" t="s">
        <v>199</v>
      </c>
      <c r="D107" s="225" t="s">
        <v>200</v>
      </c>
      <c r="E107" s="274">
        <v>9</v>
      </c>
      <c r="F107" s="214" t="s">
        <v>201</v>
      </c>
      <c r="G107" s="214" t="s">
        <v>19</v>
      </c>
      <c r="H107" s="219">
        <f>265.4-90</f>
        <v>175.39999999999998</v>
      </c>
      <c r="I107" s="202" t="s">
        <v>196</v>
      </c>
      <c r="J107" s="787" t="s">
        <v>2107</v>
      </c>
      <c r="K107" s="786" t="s">
        <v>202</v>
      </c>
      <c r="L107" s="52">
        <v>100</v>
      </c>
      <c r="M107" s="47" t="s">
        <v>183</v>
      </c>
    </row>
    <row r="108" spans="1:13" s="20" customFormat="1" ht="15" customHeight="1" x14ac:dyDescent="0.2">
      <c r="A108" s="197">
        <v>1</v>
      </c>
      <c r="B108" s="243"/>
      <c r="C108" s="265"/>
      <c r="D108" s="225"/>
      <c r="E108" s="274">
        <v>9</v>
      </c>
      <c r="F108" s="214" t="s">
        <v>201</v>
      </c>
      <c r="G108" s="260" t="s">
        <v>177</v>
      </c>
      <c r="H108" s="219"/>
      <c r="I108" s="202"/>
      <c r="J108" s="156"/>
      <c r="K108" s="162"/>
      <c r="L108" s="52"/>
      <c r="M108" s="47" t="s">
        <v>183</v>
      </c>
    </row>
    <row r="109" spans="1:13" s="20" customFormat="1" ht="15" customHeight="1" x14ac:dyDescent="0.2">
      <c r="A109" s="197">
        <v>1</v>
      </c>
      <c r="B109" s="243"/>
      <c r="C109" s="265"/>
      <c r="D109" s="225"/>
      <c r="E109" s="274">
        <v>9</v>
      </c>
      <c r="F109" s="214" t="s">
        <v>201</v>
      </c>
      <c r="G109" s="260" t="s">
        <v>75</v>
      </c>
      <c r="H109" s="219"/>
      <c r="I109" s="202"/>
      <c r="J109" s="156"/>
      <c r="K109" s="162"/>
      <c r="L109" s="52"/>
      <c r="M109" s="47" t="s">
        <v>183</v>
      </c>
    </row>
    <row r="110" spans="1:13" s="20" customFormat="1" ht="15" customHeight="1" x14ac:dyDescent="0.2">
      <c r="A110" s="197">
        <v>1</v>
      </c>
      <c r="B110" s="243"/>
      <c r="C110" s="265"/>
      <c r="D110" s="209"/>
      <c r="E110" s="274">
        <v>9</v>
      </c>
      <c r="F110" s="214" t="s">
        <v>201</v>
      </c>
      <c r="G110" s="213" t="s">
        <v>24</v>
      </c>
      <c r="H110" s="220">
        <f>SUM(H107:H109)</f>
        <v>175.39999999999998</v>
      </c>
      <c r="I110" s="202"/>
      <c r="J110" s="156"/>
      <c r="K110" s="162"/>
      <c r="L110" s="52"/>
      <c r="M110" s="47"/>
    </row>
    <row r="111" spans="1:13" s="20" customFormat="1" ht="15" customHeight="1" x14ac:dyDescent="0.2">
      <c r="A111" s="197">
        <v>1</v>
      </c>
      <c r="B111" s="243"/>
      <c r="C111" s="265" t="s">
        <v>203</v>
      </c>
      <c r="D111" s="1016" t="s">
        <v>204</v>
      </c>
      <c r="E111" s="260">
        <v>6</v>
      </c>
      <c r="F111" s="260" t="s">
        <v>205</v>
      </c>
      <c r="G111" s="257" t="s">
        <v>19</v>
      </c>
      <c r="H111" s="219">
        <f>3311.4-571.9+354.9+161.6-141.9</f>
        <v>3114.1</v>
      </c>
      <c r="I111" s="202" t="s">
        <v>181</v>
      </c>
      <c r="J111" s="787" t="s">
        <v>88</v>
      </c>
      <c r="K111" s="853" t="s">
        <v>206</v>
      </c>
      <c r="L111" s="52">
        <v>1</v>
      </c>
      <c r="M111" s="47" t="s">
        <v>183</v>
      </c>
    </row>
    <row r="112" spans="1:13" s="20" customFormat="1" ht="15" customHeight="1" x14ac:dyDescent="0.2">
      <c r="A112" s="197">
        <v>1</v>
      </c>
      <c r="B112" s="243"/>
      <c r="C112" s="265" t="s">
        <v>203</v>
      </c>
      <c r="D112" s="1017"/>
      <c r="E112" s="260">
        <v>6</v>
      </c>
      <c r="F112" s="260" t="s">
        <v>205</v>
      </c>
      <c r="G112" s="260" t="s">
        <v>177</v>
      </c>
      <c r="H112" s="219"/>
      <c r="I112" s="202"/>
      <c r="J112" s="156"/>
      <c r="K112" s="162"/>
      <c r="L112" s="52"/>
      <c r="M112" s="47" t="s">
        <v>183</v>
      </c>
    </row>
    <row r="113" spans="1:13" s="20" customFormat="1" ht="15" customHeight="1" x14ac:dyDescent="0.2">
      <c r="A113" s="197">
        <v>1</v>
      </c>
      <c r="B113" s="243"/>
      <c r="C113" s="265" t="s">
        <v>203</v>
      </c>
      <c r="D113" s="1018"/>
      <c r="E113" s="260">
        <v>6</v>
      </c>
      <c r="F113" s="260" t="s">
        <v>2041</v>
      </c>
      <c r="G113" s="257" t="s">
        <v>19</v>
      </c>
      <c r="H113" s="219">
        <f>120+43.6</f>
        <v>163.6</v>
      </c>
      <c r="I113" s="202" t="s">
        <v>181</v>
      </c>
      <c r="J113" s="162" t="s">
        <v>207</v>
      </c>
      <c r="K113" s="162" t="s">
        <v>89</v>
      </c>
      <c r="L113" s="52">
        <v>100</v>
      </c>
      <c r="M113" s="47" t="s">
        <v>183</v>
      </c>
    </row>
    <row r="114" spans="1:13" s="20" customFormat="1" ht="15" customHeight="1" x14ac:dyDescent="0.2">
      <c r="A114" s="197">
        <v>1</v>
      </c>
      <c r="B114" s="243"/>
      <c r="C114" s="243"/>
      <c r="D114" s="276"/>
      <c r="E114" s="260"/>
      <c r="F114" s="260"/>
      <c r="G114" s="213" t="s">
        <v>24</v>
      </c>
      <c r="H114" s="220">
        <f>SUM(H111:H113)</f>
        <v>3277.7</v>
      </c>
      <c r="I114" s="202"/>
      <c r="J114" s="156"/>
      <c r="K114" s="162"/>
      <c r="L114" s="52"/>
      <c r="M114" s="47"/>
    </row>
    <row r="115" spans="1:13" s="20" customFormat="1" ht="15" customHeight="1" x14ac:dyDescent="0.2">
      <c r="A115" s="197">
        <v>1</v>
      </c>
      <c r="B115" s="243"/>
      <c r="C115" s="243" t="s">
        <v>208</v>
      </c>
      <c r="D115" s="276" t="s">
        <v>209</v>
      </c>
      <c r="E115" s="260" t="s">
        <v>211</v>
      </c>
      <c r="F115" s="260" t="s">
        <v>210</v>
      </c>
      <c r="G115" s="257" t="s">
        <v>19</v>
      </c>
      <c r="H115" s="219">
        <v>40</v>
      </c>
      <c r="I115" s="202" t="s">
        <v>181</v>
      </c>
      <c r="J115" s="787" t="s">
        <v>366</v>
      </c>
      <c r="K115" s="786" t="s">
        <v>80</v>
      </c>
      <c r="L115" s="52">
        <v>100</v>
      </c>
      <c r="M115" s="47" t="s">
        <v>183</v>
      </c>
    </row>
    <row r="116" spans="1:13" s="20" customFormat="1" ht="15" customHeight="1" x14ac:dyDescent="0.2">
      <c r="A116" s="197">
        <v>1</v>
      </c>
      <c r="B116" s="243"/>
      <c r="C116" s="243"/>
      <c r="D116" s="278"/>
      <c r="E116" s="262"/>
      <c r="F116" s="197"/>
      <c r="G116" s="213" t="s">
        <v>24</v>
      </c>
      <c r="H116" s="279">
        <f>SUM(H115:H115)</f>
        <v>40</v>
      </c>
      <c r="I116" s="202" t="s">
        <v>181</v>
      </c>
      <c r="J116" s="156"/>
      <c r="K116" s="162"/>
      <c r="L116" s="52"/>
      <c r="M116" s="47"/>
    </row>
    <row r="117" spans="1:13" s="20" customFormat="1" ht="23.45" customHeight="1" x14ac:dyDescent="0.2">
      <c r="A117" s="197">
        <v>1</v>
      </c>
      <c r="B117" s="243"/>
      <c r="C117" s="243" t="s">
        <v>212</v>
      </c>
      <c r="D117" s="280" t="s">
        <v>213</v>
      </c>
      <c r="E117" s="262">
        <v>9</v>
      </c>
      <c r="F117" s="261" t="s">
        <v>180</v>
      </c>
      <c r="G117" s="263" t="s">
        <v>19</v>
      </c>
      <c r="H117" s="219">
        <f>150-150</f>
        <v>0</v>
      </c>
      <c r="I117" s="202" t="s">
        <v>181</v>
      </c>
      <c r="J117" s="787" t="s">
        <v>2028</v>
      </c>
      <c r="K117" s="786" t="s">
        <v>182</v>
      </c>
      <c r="L117" s="52">
        <v>100</v>
      </c>
      <c r="M117" s="47" t="s">
        <v>67</v>
      </c>
    </row>
    <row r="118" spans="1:13" s="20" customFormat="1" ht="23.45" customHeight="1" x14ac:dyDescent="0.2">
      <c r="A118" s="197">
        <v>1</v>
      </c>
      <c r="B118" s="243"/>
      <c r="C118" s="282"/>
      <c r="D118" s="985"/>
      <c r="E118" s="284"/>
      <c r="F118" s="285"/>
      <c r="G118" s="986" t="s">
        <v>2165</v>
      </c>
      <c r="H118" s="573">
        <v>1300</v>
      </c>
      <c r="I118" s="202"/>
      <c r="J118" s="787"/>
      <c r="K118" s="786"/>
      <c r="L118" s="52"/>
      <c r="M118" s="53"/>
    </row>
    <row r="119" spans="1:13" s="20" customFormat="1" ht="15" customHeight="1" x14ac:dyDescent="0.2">
      <c r="A119" s="197">
        <v>1</v>
      </c>
      <c r="B119" s="243"/>
      <c r="C119" s="282"/>
      <c r="D119" s="283"/>
      <c r="E119" s="284"/>
      <c r="F119" s="285" t="s">
        <v>180</v>
      </c>
      <c r="G119" s="286" t="s">
        <v>24</v>
      </c>
      <c r="H119" s="279">
        <f>SUM(H117:H118)</f>
        <v>1300</v>
      </c>
      <c r="I119" s="202" t="s">
        <v>181</v>
      </c>
      <c r="J119" s="156"/>
      <c r="K119" s="162"/>
      <c r="L119" s="52"/>
      <c r="M119" s="53"/>
    </row>
    <row r="120" spans="1:13" s="20" customFormat="1" ht="20.25" customHeight="1" x14ac:dyDescent="0.2">
      <c r="A120" s="197">
        <v>1</v>
      </c>
      <c r="B120" s="235"/>
      <c r="C120" s="243" t="s">
        <v>214</v>
      </c>
      <c r="D120" s="278" t="s">
        <v>215</v>
      </c>
      <c r="E120" s="262">
        <v>9</v>
      </c>
      <c r="F120" s="261" t="s">
        <v>216</v>
      </c>
      <c r="G120" s="257" t="s">
        <v>19</v>
      </c>
      <c r="H120" s="219">
        <v>70</v>
      </c>
      <c r="I120" s="202" t="s">
        <v>196</v>
      </c>
      <c r="J120" s="787" t="s">
        <v>2027</v>
      </c>
      <c r="K120" s="786" t="s">
        <v>197</v>
      </c>
      <c r="L120" s="52">
        <v>1</v>
      </c>
      <c r="M120" s="47" t="s">
        <v>217</v>
      </c>
    </row>
    <row r="121" spans="1:13" s="20" customFormat="1" ht="17.25" customHeight="1" x14ac:dyDescent="0.2">
      <c r="A121" s="197">
        <v>1</v>
      </c>
      <c r="B121" s="235"/>
      <c r="C121" s="243" t="s">
        <v>214</v>
      </c>
      <c r="D121" s="278"/>
      <c r="E121" s="262">
        <v>9</v>
      </c>
      <c r="F121" s="261" t="s">
        <v>216</v>
      </c>
      <c r="G121" s="260" t="s">
        <v>56</v>
      </c>
      <c r="H121" s="219"/>
      <c r="I121" s="202"/>
      <c r="J121" s="156"/>
      <c r="K121" s="162"/>
      <c r="L121" s="52"/>
      <c r="M121" s="47" t="s">
        <v>217</v>
      </c>
    </row>
    <row r="122" spans="1:13" s="20" customFormat="1" ht="27.6" customHeight="1" x14ac:dyDescent="0.2">
      <c r="A122" s="197">
        <v>1</v>
      </c>
      <c r="B122" s="235"/>
      <c r="C122" s="243" t="s">
        <v>218</v>
      </c>
      <c r="D122" s="278" t="s">
        <v>219</v>
      </c>
      <c r="E122" s="262">
        <v>9</v>
      </c>
      <c r="F122" s="261" t="s">
        <v>220</v>
      </c>
      <c r="G122" s="260" t="s">
        <v>19</v>
      </c>
      <c r="H122" s="219">
        <f>50-40</f>
        <v>10</v>
      </c>
      <c r="I122" s="202" t="s">
        <v>196</v>
      </c>
      <c r="J122" s="787" t="s">
        <v>1873</v>
      </c>
      <c r="K122" s="786" t="s">
        <v>202</v>
      </c>
      <c r="L122" s="52">
        <v>20</v>
      </c>
      <c r="M122" s="47" t="s">
        <v>222</v>
      </c>
    </row>
    <row r="123" spans="1:13" s="20" customFormat="1" ht="25.5" customHeight="1" x14ac:dyDescent="0.2">
      <c r="A123" s="197">
        <v>1</v>
      </c>
      <c r="B123" s="243"/>
      <c r="C123" s="243" t="s">
        <v>224</v>
      </c>
      <c r="D123" s="235" t="s">
        <v>225</v>
      </c>
      <c r="E123" s="262">
        <v>9</v>
      </c>
      <c r="F123" s="261" t="s">
        <v>226</v>
      </c>
      <c r="G123" s="260" t="s">
        <v>19</v>
      </c>
      <c r="H123" s="219">
        <v>60</v>
      </c>
      <c r="I123" s="202" t="s">
        <v>196</v>
      </c>
      <c r="J123" s="787" t="s">
        <v>1873</v>
      </c>
      <c r="K123" s="786" t="s">
        <v>202</v>
      </c>
      <c r="L123" s="52">
        <v>30</v>
      </c>
      <c r="M123" s="54" t="s">
        <v>223</v>
      </c>
    </row>
    <row r="124" spans="1:13" s="20" customFormat="1" ht="19.149999999999999" customHeight="1" x14ac:dyDescent="0.2">
      <c r="A124" s="197">
        <v>1</v>
      </c>
      <c r="B124" s="243"/>
      <c r="C124" s="243" t="s">
        <v>224</v>
      </c>
      <c r="D124" s="235"/>
      <c r="E124" s="262">
        <v>9</v>
      </c>
      <c r="F124" s="261" t="s">
        <v>226</v>
      </c>
      <c r="G124" s="260" t="s">
        <v>56</v>
      </c>
      <c r="H124" s="219"/>
      <c r="I124" s="202"/>
      <c r="J124" s="156"/>
      <c r="K124" s="162"/>
      <c r="L124" s="52"/>
      <c r="M124" s="54" t="s">
        <v>223</v>
      </c>
    </row>
    <row r="125" spans="1:13" s="20" customFormat="1" ht="22.5" x14ac:dyDescent="0.2">
      <c r="A125" s="197">
        <v>1</v>
      </c>
      <c r="B125" s="243"/>
      <c r="C125" s="243" t="s">
        <v>229</v>
      </c>
      <c r="D125" s="947" t="s">
        <v>230</v>
      </c>
      <c r="E125" s="260">
        <v>9</v>
      </c>
      <c r="F125" s="261" t="s">
        <v>227</v>
      </c>
      <c r="G125" s="257" t="s">
        <v>19</v>
      </c>
      <c r="H125" s="219">
        <f>20-10+30</f>
        <v>40</v>
      </c>
      <c r="I125" s="202" t="s">
        <v>196</v>
      </c>
      <c r="J125" s="787" t="s">
        <v>1873</v>
      </c>
      <c r="K125" s="786" t="s">
        <v>228</v>
      </c>
      <c r="L125" s="52">
        <v>1</v>
      </c>
      <c r="M125" s="47" t="s">
        <v>67</v>
      </c>
    </row>
    <row r="126" spans="1:13" s="20" customFormat="1" ht="11.25" x14ac:dyDescent="0.2">
      <c r="A126" s="197">
        <v>1</v>
      </c>
      <c r="B126" s="243"/>
      <c r="C126" s="243"/>
      <c r="D126" s="947"/>
      <c r="E126" s="257"/>
      <c r="F126" s="261"/>
      <c r="G126" s="213" t="s">
        <v>24</v>
      </c>
      <c r="H126" s="220">
        <f>SUM(H120:H125)</f>
        <v>180</v>
      </c>
      <c r="I126" s="202"/>
      <c r="J126" s="156"/>
      <c r="K126" s="162"/>
      <c r="L126" s="52"/>
      <c r="M126" s="47"/>
    </row>
    <row r="127" spans="1:13" s="20" customFormat="1" ht="22.5" x14ac:dyDescent="0.2">
      <c r="A127" s="197">
        <v>1</v>
      </c>
      <c r="B127" s="243"/>
      <c r="C127" s="243" t="s">
        <v>231</v>
      </c>
      <c r="D127" s="278" t="s">
        <v>232</v>
      </c>
      <c r="E127" s="262">
        <v>9</v>
      </c>
      <c r="F127" s="261" t="s">
        <v>180</v>
      </c>
      <c r="G127" s="212" t="s">
        <v>19</v>
      </c>
      <c r="H127" s="219">
        <v>65</v>
      </c>
      <c r="I127" s="202" t="s">
        <v>58</v>
      </c>
      <c r="J127" s="787" t="s">
        <v>2108</v>
      </c>
      <c r="K127" s="786" t="s">
        <v>233</v>
      </c>
      <c r="L127" s="52">
        <v>1</v>
      </c>
      <c r="M127" s="47" t="s">
        <v>67</v>
      </c>
    </row>
    <row r="128" spans="1:13" s="20" customFormat="1" ht="11.25" x14ac:dyDescent="0.2">
      <c r="A128" s="197">
        <v>1</v>
      </c>
      <c r="B128" s="243"/>
      <c r="C128" s="243"/>
      <c r="D128" s="278"/>
      <c r="E128" s="262">
        <v>9</v>
      </c>
      <c r="F128" s="261" t="s">
        <v>180</v>
      </c>
      <c r="G128" s="212" t="s">
        <v>21</v>
      </c>
      <c r="H128" s="219">
        <v>80</v>
      </c>
      <c r="I128" s="202"/>
      <c r="J128" s="156"/>
      <c r="K128" s="162"/>
      <c r="L128" s="52"/>
      <c r="M128" s="47" t="s">
        <v>67</v>
      </c>
    </row>
    <row r="129" spans="1:13" s="20" customFormat="1" ht="11.25" x14ac:dyDescent="0.2">
      <c r="A129" s="197">
        <v>1</v>
      </c>
      <c r="B129" s="243"/>
      <c r="C129" s="243"/>
      <c r="D129" s="278"/>
      <c r="E129" s="262">
        <v>9</v>
      </c>
      <c r="F129" s="261" t="s">
        <v>180</v>
      </c>
      <c r="G129" s="212" t="s">
        <v>175</v>
      </c>
      <c r="H129" s="219">
        <v>1.1000000000000001</v>
      </c>
      <c r="I129" s="202"/>
      <c r="J129" s="156"/>
      <c r="K129" s="162"/>
      <c r="L129" s="52"/>
      <c r="M129" s="47" t="s">
        <v>67</v>
      </c>
    </row>
    <row r="130" spans="1:13" s="20" customFormat="1" ht="11.25" x14ac:dyDescent="0.2">
      <c r="A130" s="197">
        <v>1</v>
      </c>
      <c r="B130" s="243"/>
      <c r="C130" s="243"/>
      <c r="D130" s="278"/>
      <c r="E130" s="262">
        <v>9</v>
      </c>
      <c r="F130" s="261" t="s">
        <v>180</v>
      </c>
      <c r="G130" s="213" t="s">
        <v>24</v>
      </c>
      <c r="H130" s="279">
        <f>SUM(H127:H129)</f>
        <v>146.1</v>
      </c>
      <c r="I130" s="202"/>
      <c r="J130" s="156"/>
      <c r="K130" s="162"/>
      <c r="L130" s="52"/>
      <c r="M130" s="47"/>
    </row>
    <row r="131" spans="1:13" s="20" customFormat="1" ht="33.75" x14ac:dyDescent="0.2">
      <c r="A131" s="197">
        <v>1</v>
      </c>
      <c r="B131" s="243"/>
      <c r="C131" s="243" t="s">
        <v>234</v>
      </c>
      <c r="D131" s="256" t="s">
        <v>235</v>
      </c>
      <c r="E131" s="260">
        <v>2</v>
      </c>
      <c r="F131" s="260" t="s">
        <v>236</v>
      </c>
      <c r="G131" s="288" t="s">
        <v>19</v>
      </c>
      <c r="H131" s="269">
        <f>50-50</f>
        <v>0</v>
      </c>
      <c r="I131" s="202" t="s">
        <v>196</v>
      </c>
      <c r="J131" s="787" t="s">
        <v>237</v>
      </c>
      <c r="K131" s="786" t="s">
        <v>238</v>
      </c>
      <c r="L131" s="52">
        <v>30</v>
      </c>
      <c r="M131" s="55" t="s">
        <v>67</v>
      </c>
    </row>
    <row r="132" spans="1:13" s="20" customFormat="1" ht="11.25" x14ac:dyDescent="0.2">
      <c r="A132" s="197">
        <v>1</v>
      </c>
      <c r="B132" s="243"/>
      <c r="C132" s="243"/>
      <c r="D132" s="256"/>
      <c r="E132" s="260">
        <v>2</v>
      </c>
      <c r="F132" s="260" t="s">
        <v>236</v>
      </c>
      <c r="G132" s="289" t="s">
        <v>21</v>
      </c>
      <c r="H132" s="269"/>
      <c r="I132" s="202"/>
      <c r="J132" s="156"/>
      <c r="K132" s="162"/>
      <c r="L132" s="52"/>
      <c r="M132" s="55" t="s">
        <v>67</v>
      </c>
    </row>
    <row r="133" spans="1:13" s="20" customFormat="1" ht="11.25" x14ac:dyDescent="0.2">
      <c r="A133" s="197">
        <v>1</v>
      </c>
      <c r="B133" s="243"/>
      <c r="C133" s="243"/>
      <c r="D133" s="256"/>
      <c r="E133" s="260"/>
      <c r="F133" s="260"/>
      <c r="G133" s="290" t="s">
        <v>24</v>
      </c>
      <c r="H133" s="267">
        <f>SUM(H131:H132)</f>
        <v>0</v>
      </c>
      <c r="I133" s="202"/>
      <c r="J133" s="156"/>
      <c r="K133" s="162"/>
      <c r="L133" s="52"/>
      <c r="M133" s="55"/>
    </row>
    <row r="134" spans="1:13" s="20" customFormat="1" ht="16.5" customHeight="1" x14ac:dyDescent="0.2">
      <c r="A134" s="197">
        <v>1</v>
      </c>
      <c r="B134" s="243"/>
      <c r="C134" s="243" t="s">
        <v>239</v>
      </c>
      <c r="D134" s="291" t="s">
        <v>240</v>
      </c>
      <c r="E134" s="262">
        <v>9</v>
      </c>
      <c r="F134" s="197" t="s">
        <v>241</v>
      </c>
      <c r="G134" s="260"/>
      <c r="H134" s="292"/>
      <c r="I134" s="202"/>
      <c r="J134" s="156"/>
      <c r="K134" s="162"/>
      <c r="L134" s="52"/>
      <c r="M134" s="47"/>
    </row>
    <row r="135" spans="1:13" s="20" customFormat="1" ht="15" customHeight="1" x14ac:dyDescent="0.2">
      <c r="A135" s="197">
        <v>1</v>
      </c>
      <c r="B135" s="243"/>
      <c r="C135" s="243"/>
      <c r="D135" s="293" t="s">
        <v>242</v>
      </c>
      <c r="E135" s="262">
        <v>9</v>
      </c>
      <c r="F135" s="197" t="s">
        <v>241</v>
      </c>
      <c r="G135" s="257" t="s">
        <v>19</v>
      </c>
      <c r="H135" s="294">
        <f>100-80</f>
        <v>20</v>
      </c>
      <c r="I135" s="202" t="s">
        <v>196</v>
      </c>
      <c r="J135" s="787" t="s">
        <v>1873</v>
      </c>
      <c r="K135" s="786" t="s">
        <v>202</v>
      </c>
      <c r="L135" s="52">
        <v>30</v>
      </c>
      <c r="M135" s="47" t="s">
        <v>187</v>
      </c>
    </row>
    <row r="136" spans="1:13" s="20" customFormat="1" ht="13.15" customHeight="1" x14ac:dyDescent="0.2">
      <c r="A136" s="197">
        <v>1</v>
      </c>
      <c r="B136" s="243"/>
      <c r="C136" s="243"/>
      <c r="D136" s="293" t="s">
        <v>243</v>
      </c>
      <c r="E136" s="262">
        <v>9</v>
      </c>
      <c r="F136" s="197" t="s">
        <v>241</v>
      </c>
      <c r="G136" s="257" t="s">
        <v>19</v>
      </c>
      <c r="H136" s="294"/>
      <c r="I136" s="202" t="s">
        <v>196</v>
      </c>
      <c r="J136" s="787" t="s">
        <v>1873</v>
      </c>
      <c r="K136" s="786" t="s">
        <v>202</v>
      </c>
      <c r="L136" s="52">
        <v>20</v>
      </c>
      <c r="M136" s="47" t="s">
        <v>222</v>
      </c>
    </row>
    <row r="137" spans="1:13" s="20" customFormat="1" ht="12.6" customHeight="1" x14ac:dyDescent="0.2">
      <c r="A137" s="197">
        <v>1</v>
      </c>
      <c r="B137" s="243"/>
      <c r="C137" s="243"/>
      <c r="D137" s="293" t="s">
        <v>244</v>
      </c>
      <c r="E137" s="262">
        <v>9</v>
      </c>
      <c r="F137" s="197" t="s">
        <v>241</v>
      </c>
      <c r="G137" s="257" t="s">
        <v>19</v>
      </c>
      <c r="H137" s="294"/>
      <c r="I137" s="202" t="s">
        <v>196</v>
      </c>
      <c r="J137" s="155"/>
      <c r="K137" s="161"/>
      <c r="L137" s="45"/>
      <c r="M137" s="47" t="s">
        <v>223</v>
      </c>
    </row>
    <row r="138" spans="1:13" s="20" customFormat="1" ht="12.6" customHeight="1" x14ac:dyDescent="0.2">
      <c r="A138" s="197">
        <v>1</v>
      </c>
      <c r="B138" s="243"/>
      <c r="C138" s="243"/>
      <c r="D138" s="293" t="s">
        <v>245</v>
      </c>
      <c r="E138" s="262">
        <v>9</v>
      </c>
      <c r="F138" s="197" t="s">
        <v>241</v>
      </c>
      <c r="G138" s="257" t="s">
        <v>19</v>
      </c>
      <c r="H138" s="294"/>
      <c r="I138" s="202" t="s">
        <v>196</v>
      </c>
      <c r="J138" s="155"/>
      <c r="K138" s="161"/>
      <c r="L138" s="45"/>
      <c r="M138" s="47" t="s">
        <v>246</v>
      </c>
    </row>
    <row r="139" spans="1:13" s="20" customFormat="1" ht="12.6" customHeight="1" x14ac:dyDescent="0.2">
      <c r="A139" s="197">
        <v>1</v>
      </c>
      <c r="B139" s="243"/>
      <c r="C139" s="243"/>
      <c r="D139" s="235"/>
      <c r="E139" s="235"/>
      <c r="F139" s="197"/>
      <c r="G139" s="296" t="s">
        <v>24</v>
      </c>
      <c r="H139" s="297">
        <f>SUM(H135:H138)</f>
        <v>20</v>
      </c>
      <c r="I139" s="202"/>
      <c r="J139" s="155"/>
      <c r="K139" s="161"/>
      <c r="L139" s="45"/>
      <c r="M139" s="56"/>
    </row>
    <row r="140" spans="1:13" s="20" customFormat="1" ht="33.75" x14ac:dyDescent="0.2">
      <c r="A140" s="197">
        <v>1</v>
      </c>
      <c r="B140" s="243"/>
      <c r="C140" s="243" t="s">
        <v>2166</v>
      </c>
      <c r="D140" s="245" t="s">
        <v>2167</v>
      </c>
      <c r="E140" s="274">
        <v>9</v>
      </c>
      <c r="F140" s="197" t="s">
        <v>2168</v>
      </c>
      <c r="G140" s="214" t="s">
        <v>2154</v>
      </c>
      <c r="H140" s="294">
        <v>765</v>
      </c>
      <c r="I140" s="202"/>
      <c r="J140" s="989" t="s">
        <v>2170</v>
      </c>
      <c r="K140" s="598" t="s">
        <v>2169</v>
      </c>
      <c r="L140" s="202">
        <v>1</v>
      </c>
      <c r="M140" s="990" t="s">
        <v>183</v>
      </c>
    </row>
    <row r="141" spans="1:13" s="20" customFormat="1" ht="12.6" customHeight="1" x14ac:dyDescent="0.2">
      <c r="A141" s="197">
        <v>1</v>
      </c>
      <c r="B141" s="243"/>
      <c r="C141" s="243"/>
      <c r="D141" s="235"/>
      <c r="E141" s="235"/>
      <c r="F141" s="197"/>
      <c r="G141" s="296" t="s">
        <v>24</v>
      </c>
      <c r="H141" s="297">
        <f>SUM(H140)</f>
        <v>765</v>
      </c>
      <c r="I141" s="202"/>
      <c r="J141" s="155"/>
      <c r="K141" s="161"/>
      <c r="L141" s="45"/>
      <c r="M141" s="56"/>
    </row>
    <row r="142" spans="1:13" s="20" customFormat="1" ht="12.6" hidden="1" customHeight="1" x14ac:dyDescent="0.2">
      <c r="A142" s="197">
        <v>1</v>
      </c>
      <c r="B142" s="243"/>
      <c r="C142" s="295"/>
      <c r="D142" s="987"/>
      <c r="E142" s="298"/>
      <c r="F142" s="988"/>
      <c r="G142" s="299" t="s">
        <v>247</v>
      </c>
      <c r="H142" s="299">
        <f>SUM(H101,H116,H119,H97,H93,H106,H130,H88,H76,H73,H69,H66,H64,H60,H58,H56,H53,H50,H21,H19,H15,H13,H9,H29,H24,H31,H139,H35,H38,H110,H42,H133,H126,H114,H141)</f>
        <v>28439.599999999999</v>
      </c>
      <c r="I142" s="202"/>
      <c r="J142" s="155"/>
      <c r="K142" s="161"/>
      <c r="L142" s="45"/>
      <c r="M142" s="47"/>
    </row>
    <row r="143" spans="1:13" s="20" customFormat="1" ht="12.6" hidden="1" customHeight="1" x14ac:dyDescent="0.2">
      <c r="A143" s="197">
        <v>1</v>
      </c>
      <c r="B143" s="243"/>
      <c r="C143" s="243"/>
      <c r="D143" s="278"/>
      <c r="E143" s="262"/>
      <c r="F143" s="300"/>
      <c r="G143" s="257" t="s">
        <v>19</v>
      </c>
      <c r="H143" s="211">
        <f>SUM(H8,H11,H14,H16,H20,H44,H52,H57,H59,H61,H65,H68,H72,H75,H85,H127,H102,H89,H94,H117,H122,H120,H131,H98,H30,H135,H137,H138,H55,H115,H32,H28,H107,H39,H125,H136,H111,H123,H113)</f>
        <v>10904.3</v>
      </c>
      <c r="I143" s="202"/>
      <c r="J143" s="155"/>
      <c r="K143" s="161"/>
      <c r="L143" s="45"/>
      <c r="M143" s="47"/>
    </row>
    <row r="144" spans="1:13" s="20" customFormat="1" ht="12.75" hidden="1" customHeight="1" x14ac:dyDescent="0.2">
      <c r="A144" s="197">
        <v>1</v>
      </c>
      <c r="B144" s="243"/>
      <c r="C144" s="243"/>
      <c r="D144" s="278"/>
      <c r="E144" s="284"/>
      <c r="F144" s="300"/>
      <c r="G144" s="260" t="s">
        <v>21</v>
      </c>
      <c r="H144" s="211">
        <f>SUM(H54,H47,H27,H128,H132)</f>
        <v>541.70000000000005</v>
      </c>
      <c r="I144" s="202"/>
      <c r="J144" s="155"/>
      <c r="K144" s="161"/>
      <c r="L144" s="45"/>
      <c r="M144" s="47"/>
    </row>
    <row r="145" spans="1:13" s="20" customFormat="1" ht="12.6" hidden="1" customHeight="1" x14ac:dyDescent="0.2">
      <c r="A145" s="197">
        <v>1</v>
      </c>
      <c r="B145" s="243"/>
      <c r="C145" s="243"/>
      <c r="D145" s="278"/>
      <c r="E145" s="284"/>
      <c r="F145" s="300"/>
      <c r="G145" s="260" t="s">
        <v>56</v>
      </c>
      <c r="H145" s="211">
        <f>SUM(H100,H96,H92,H87,H62,H10,H22,H33,H40,H37,H121,H124,H104)</f>
        <v>8499.2999999999993</v>
      </c>
      <c r="I145" s="202"/>
      <c r="J145" s="155"/>
      <c r="K145" s="161"/>
      <c r="L145" s="45"/>
      <c r="M145" s="47"/>
    </row>
    <row r="146" spans="1:13" s="20" customFormat="1" ht="12.6" hidden="1" customHeight="1" x14ac:dyDescent="0.2">
      <c r="A146" s="197">
        <v>1</v>
      </c>
      <c r="B146" s="243"/>
      <c r="C146" s="243"/>
      <c r="D146" s="278"/>
      <c r="E146" s="284"/>
      <c r="F146" s="300"/>
      <c r="G146" s="260" t="s">
        <v>59</v>
      </c>
      <c r="H146" s="211">
        <f>SUM(H63,H12,H23,H34,H36,H41)</f>
        <v>294.60000000000002</v>
      </c>
      <c r="I146" s="202"/>
      <c r="J146" s="155"/>
      <c r="K146" s="161"/>
      <c r="L146" s="45"/>
      <c r="M146" s="47"/>
    </row>
    <row r="147" spans="1:13" s="20" customFormat="1" ht="12.6" hidden="1" customHeight="1" x14ac:dyDescent="0.2">
      <c r="A147" s="197">
        <v>1</v>
      </c>
      <c r="B147" s="243"/>
      <c r="C147" s="243"/>
      <c r="D147" s="278"/>
      <c r="E147" s="284"/>
      <c r="F147" s="300"/>
      <c r="G147" s="260" t="s">
        <v>16</v>
      </c>
      <c r="H147" s="211">
        <f>SUM(H48,H25)</f>
        <v>3928</v>
      </c>
      <c r="I147" s="202"/>
      <c r="J147" s="155"/>
      <c r="K147" s="161"/>
      <c r="L147" s="45"/>
      <c r="M147" s="47"/>
    </row>
    <row r="148" spans="1:13" s="20" customFormat="1" ht="12.6" hidden="1" customHeight="1" x14ac:dyDescent="0.2">
      <c r="A148" s="197">
        <v>1</v>
      </c>
      <c r="B148" s="243"/>
      <c r="C148" s="243"/>
      <c r="D148" s="278"/>
      <c r="E148" s="284"/>
      <c r="F148" s="300"/>
      <c r="G148" s="260" t="s">
        <v>22</v>
      </c>
      <c r="H148" s="211"/>
      <c r="I148" s="202"/>
      <c r="J148" s="155"/>
      <c r="K148" s="161"/>
      <c r="L148" s="45"/>
      <c r="M148" s="47"/>
    </row>
    <row r="149" spans="1:13" s="20" customFormat="1" ht="12.6" hidden="1" customHeight="1" x14ac:dyDescent="0.2">
      <c r="A149" s="197">
        <v>1</v>
      </c>
      <c r="B149" s="243"/>
      <c r="C149" s="243"/>
      <c r="D149" s="278"/>
      <c r="E149" s="284"/>
      <c r="F149" s="300"/>
      <c r="G149" s="260" t="s">
        <v>75</v>
      </c>
      <c r="H149" s="211">
        <f>H109+H103+H45</f>
        <v>0</v>
      </c>
      <c r="I149" s="202"/>
      <c r="J149" s="155"/>
      <c r="K149" s="161"/>
      <c r="L149" s="45"/>
      <c r="M149" s="47"/>
    </row>
    <row r="150" spans="1:13" s="20" customFormat="1" ht="12.6" hidden="1" customHeight="1" x14ac:dyDescent="0.2">
      <c r="A150" s="197">
        <v>1</v>
      </c>
      <c r="B150" s="243"/>
      <c r="C150" s="243"/>
      <c r="D150" s="278"/>
      <c r="E150" s="284"/>
      <c r="F150" s="300"/>
      <c r="G150" s="260" t="s">
        <v>248</v>
      </c>
      <c r="H150" s="211"/>
      <c r="I150" s="202"/>
      <c r="J150" s="155"/>
      <c r="K150" s="161"/>
      <c r="L150" s="45"/>
      <c r="M150" s="47"/>
    </row>
    <row r="151" spans="1:13" s="20" customFormat="1" ht="12.6" hidden="1" customHeight="1" x14ac:dyDescent="0.2">
      <c r="A151" s="197">
        <v>1</v>
      </c>
      <c r="B151" s="243"/>
      <c r="C151" s="243"/>
      <c r="D151" s="278"/>
      <c r="E151" s="284"/>
      <c r="F151" s="300"/>
      <c r="G151" s="260" t="s">
        <v>177</v>
      </c>
      <c r="H151" s="211">
        <f>SUM(H105,H112,H90,H108,)</f>
        <v>900</v>
      </c>
      <c r="I151" s="202"/>
      <c r="J151" s="155"/>
      <c r="K151" s="161"/>
      <c r="L151" s="45"/>
      <c r="M151" s="47"/>
    </row>
    <row r="152" spans="1:13" s="20" customFormat="1" ht="12.6" hidden="1" customHeight="1" x14ac:dyDescent="0.2">
      <c r="A152" s="197">
        <v>1</v>
      </c>
      <c r="B152" s="243"/>
      <c r="C152" s="243"/>
      <c r="D152" s="278"/>
      <c r="E152" s="284"/>
      <c r="F152" s="300"/>
      <c r="G152" s="260" t="s">
        <v>176</v>
      </c>
      <c r="H152" s="211">
        <f>H99+H95+H91+H86</f>
        <v>1301.8</v>
      </c>
      <c r="I152" s="202"/>
      <c r="J152" s="155"/>
      <c r="K152" s="161"/>
      <c r="L152" s="45"/>
      <c r="M152" s="47"/>
    </row>
    <row r="153" spans="1:13" s="20" customFormat="1" ht="12.6" hidden="1" customHeight="1" x14ac:dyDescent="0.2">
      <c r="A153" s="197">
        <v>1</v>
      </c>
      <c r="B153" s="243"/>
      <c r="C153" s="243"/>
      <c r="D153" s="278"/>
      <c r="E153" s="284"/>
      <c r="F153" s="300"/>
      <c r="G153" s="260" t="s">
        <v>2171</v>
      </c>
      <c r="H153" s="211">
        <f>H118+H140</f>
        <v>2065</v>
      </c>
      <c r="I153" s="202"/>
      <c r="J153" s="155"/>
      <c r="K153" s="161"/>
      <c r="L153" s="45"/>
      <c r="M153" s="47"/>
    </row>
    <row r="154" spans="1:13" s="20" customFormat="1" ht="12.6" hidden="1" customHeight="1" x14ac:dyDescent="0.2">
      <c r="A154" s="197">
        <v>1</v>
      </c>
      <c r="B154" s="243"/>
      <c r="C154" s="243"/>
      <c r="D154" s="278"/>
      <c r="E154" s="284"/>
      <c r="F154" s="300"/>
      <c r="G154" s="257" t="s">
        <v>249</v>
      </c>
      <c r="H154" s="211"/>
      <c r="I154" s="202"/>
      <c r="J154" s="155"/>
      <c r="K154" s="161"/>
      <c r="L154" s="45"/>
      <c r="M154" s="47"/>
    </row>
    <row r="155" spans="1:13" s="20" customFormat="1" ht="12.6" hidden="1" customHeight="1" x14ac:dyDescent="0.2">
      <c r="A155" s="197">
        <v>1</v>
      </c>
      <c r="B155" s="243"/>
      <c r="C155" s="243"/>
      <c r="D155" s="278"/>
      <c r="E155" s="284"/>
      <c r="F155" s="300"/>
      <c r="G155" s="260" t="s">
        <v>23</v>
      </c>
      <c r="H155" s="211">
        <f>H46</f>
        <v>0</v>
      </c>
      <c r="I155" s="202"/>
      <c r="J155" s="155"/>
      <c r="K155" s="161"/>
      <c r="L155" s="45"/>
      <c r="M155" s="47"/>
    </row>
    <row r="156" spans="1:13" s="20" customFormat="1" ht="12.6" hidden="1" customHeight="1" x14ac:dyDescent="0.2">
      <c r="A156" s="197">
        <v>1</v>
      </c>
      <c r="B156" s="243"/>
      <c r="C156" s="243"/>
      <c r="D156" s="278"/>
      <c r="E156" s="284"/>
      <c r="F156" s="300"/>
      <c r="G156" s="260" t="s">
        <v>42</v>
      </c>
      <c r="H156" s="212">
        <f>SUM(H26,H49)</f>
        <v>3.8</v>
      </c>
      <c r="I156" s="202"/>
      <c r="J156" s="155"/>
      <c r="K156" s="161"/>
      <c r="L156" s="45"/>
      <c r="M156" s="47"/>
    </row>
    <row r="157" spans="1:13" s="20" customFormat="1" ht="12.6" hidden="1" customHeight="1" x14ac:dyDescent="0.2">
      <c r="A157" s="197">
        <v>1</v>
      </c>
      <c r="B157" s="243"/>
      <c r="C157" s="243"/>
      <c r="D157" s="278"/>
      <c r="E157" s="284"/>
      <c r="F157" s="300"/>
      <c r="G157" s="260" t="s">
        <v>18</v>
      </c>
      <c r="H157" s="211"/>
      <c r="I157" s="202"/>
      <c r="J157" s="155"/>
      <c r="K157" s="161"/>
      <c r="L157" s="45"/>
      <c r="M157" s="47"/>
    </row>
    <row r="158" spans="1:13" s="20" customFormat="1" ht="12.6" hidden="1" customHeight="1" x14ac:dyDescent="0.2">
      <c r="A158" s="197">
        <v>1</v>
      </c>
      <c r="B158" s="243"/>
      <c r="C158" s="243"/>
      <c r="D158" s="278"/>
      <c r="E158" s="284"/>
      <c r="F158" s="300"/>
      <c r="G158" s="257" t="s">
        <v>175</v>
      </c>
      <c r="H158" s="211">
        <f>H129</f>
        <v>1.1000000000000001</v>
      </c>
      <c r="I158" s="202"/>
      <c r="J158" s="155"/>
      <c r="K158" s="161"/>
      <c r="L158" s="45"/>
      <c r="M158" s="47"/>
    </row>
    <row r="159" spans="1:13" s="20" customFormat="1" ht="12.6" hidden="1" customHeight="1" x14ac:dyDescent="0.2">
      <c r="A159" s="197">
        <v>1</v>
      </c>
      <c r="B159" s="243"/>
      <c r="C159" s="243"/>
      <c r="D159" s="278"/>
      <c r="E159" s="284"/>
      <c r="F159" s="300"/>
      <c r="G159" s="299" t="s">
        <v>247</v>
      </c>
      <c r="H159" s="299">
        <f>SUM(H143:H158)</f>
        <v>28439.599999999995</v>
      </c>
      <c r="I159" s="202"/>
      <c r="J159" s="155"/>
      <c r="K159" s="161"/>
      <c r="L159" s="45"/>
      <c r="M159" s="47"/>
    </row>
    <row r="160" spans="1:13" s="20" customFormat="1" ht="12.6" hidden="1" customHeight="1" x14ac:dyDescent="0.2">
      <c r="A160" s="197">
        <v>1</v>
      </c>
      <c r="B160" s="243"/>
      <c r="C160" s="243"/>
      <c r="D160" s="278"/>
      <c r="E160" s="262"/>
      <c r="F160" s="197"/>
      <c r="G160" s="301"/>
      <c r="H160" s="211">
        <f>H142-H159</f>
        <v>0</v>
      </c>
      <c r="I160" s="202"/>
      <c r="J160" s="155"/>
      <c r="K160" s="161"/>
      <c r="L160" s="45"/>
      <c r="M160" s="47"/>
    </row>
    <row r="161" spans="1:13" s="20" customFormat="1" ht="12.6" customHeight="1" x14ac:dyDescent="0.2">
      <c r="A161" s="934"/>
      <c r="B161" s="934"/>
      <c r="C161" s="934"/>
      <c r="D161" s="934" t="s">
        <v>2018</v>
      </c>
      <c r="E161" s="935"/>
      <c r="F161" s="934"/>
      <c r="G161" s="934"/>
      <c r="H161" s="934"/>
      <c r="I161" s="934"/>
      <c r="J161" s="934"/>
      <c r="K161" s="934"/>
      <c r="L161" s="934"/>
      <c r="M161" s="936"/>
    </row>
    <row r="162" spans="1:13" ht="22.5" x14ac:dyDescent="0.2">
      <c r="A162" s="302">
        <v>2</v>
      </c>
      <c r="B162" s="303"/>
      <c r="C162" s="303"/>
      <c r="D162" s="304" t="s">
        <v>250</v>
      </c>
      <c r="E162" s="305"/>
      <c r="F162" s="306"/>
      <c r="G162" s="305"/>
      <c r="H162" s="305"/>
      <c r="I162" s="307"/>
      <c r="J162" s="157"/>
      <c r="K162" s="163"/>
      <c r="L162" s="57"/>
      <c r="M162" s="58"/>
    </row>
    <row r="163" spans="1:13" ht="22.5" x14ac:dyDescent="0.2">
      <c r="A163" s="214">
        <v>2</v>
      </c>
      <c r="B163" s="308" t="s">
        <v>251</v>
      </c>
      <c r="C163" s="308" t="s">
        <v>251</v>
      </c>
      <c r="D163" s="309" t="s">
        <v>252</v>
      </c>
      <c r="E163" s="310">
        <v>10</v>
      </c>
      <c r="F163" s="210" t="s">
        <v>253</v>
      </c>
      <c r="G163" s="311" t="s">
        <v>19</v>
      </c>
      <c r="H163" s="219">
        <f>80-10-10-16.6</f>
        <v>43.4</v>
      </c>
      <c r="I163" s="307" t="s">
        <v>64</v>
      </c>
      <c r="J163" s="181" t="s">
        <v>254</v>
      </c>
      <c r="K163" s="784" t="s">
        <v>255</v>
      </c>
      <c r="L163" s="155" t="s">
        <v>256</v>
      </c>
      <c r="M163" s="60"/>
    </row>
    <row r="164" spans="1:13" ht="12.75" customHeight="1" x14ac:dyDescent="0.2">
      <c r="A164" s="214">
        <v>2</v>
      </c>
      <c r="B164" s="215"/>
      <c r="C164" s="215"/>
      <c r="D164" s="209"/>
      <c r="E164" s="210">
        <v>10</v>
      </c>
      <c r="F164" s="209"/>
      <c r="G164" s="312" t="s">
        <v>247</v>
      </c>
      <c r="H164" s="220">
        <f>SUM(H163)</f>
        <v>43.4</v>
      </c>
      <c r="I164" s="307"/>
      <c r="J164" s="872"/>
      <c r="K164" s="873"/>
      <c r="L164" s="874"/>
      <c r="M164" s="60"/>
    </row>
    <row r="165" spans="1:13" ht="22.5" x14ac:dyDescent="0.2">
      <c r="A165" s="214">
        <v>2</v>
      </c>
      <c r="B165" s="308" t="s">
        <v>257</v>
      </c>
      <c r="C165" s="308" t="s">
        <v>257</v>
      </c>
      <c r="D165" s="313" t="s">
        <v>258</v>
      </c>
      <c r="E165" s="310">
        <v>32</v>
      </c>
      <c r="F165" s="210" t="s">
        <v>259</v>
      </c>
      <c r="G165" s="311" t="s">
        <v>19</v>
      </c>
      <c r="H165" s="219">
        <f>50+10</f>
        <v>60</v>
      </c>
      <c r="I165" s="307" t="s">
        <v>64</v>
      </c>
      <c r="J165" s="181" t="s">
        <v>260</v>
      </c>
      <c r="K165" s="784" t="s">
        <v>261</v>
      </c>
      <c r="L165" s="45">
        <v>50</v>
      </c>
      <c r="M165" s="60"/>
    </row>
    <row r="166" spans="1:13" ht="12.75" customHeight="1" x14ac:dyDescent="0.2">
      <c r="A166" s="214">
        <v>2</v>
      </c>
      <c r="B166" s="215"/>
      <c r="C166" s="215"/>
      <c r="D166" s="209"/>
      <c r="E166" s="210">
        <v>32</v>
      </c>
      <c r="F166" s="209"/>
      <c r="G166" s="312" t="s">
        <v>247</v>
      </c>
      <c r="H166" s="220">
        <f>SUM(H165)</f>
        <v>60</v>
      </c>
      <c r="I166" s="307"/>
      <c r="J166" s="157"/>
      <c r="K166" s="163"/>
      <c r="L166" s="57"/>
      <c r="M166" s="60"/>
    </row>
    <row r="167" spans="1:13" ht="22.5" x14ac:dyDescent="0.2">
      <c r="A167" s="302">
        <v>2</v>
      </c>
      <c r="B167" s="314"/>
      <c r="C167" s="314"/>
      <c r="D167" s="315" t="s">
        <v>262</v>
      </c>
      <c r="E167" s="316"/>
      <c r="F167" s="317"/>
      <c r="G167" s="316"/>
      <c r="H167" s="318"/>
      <c r="I167" s="307"/>
      <c r="J167" s="157"/>
      <c r="K167" s="163"/>
      <c r="L167" s="57"/>
      <c r="M167" s="60"/>
    </row>
    <row r="168" spans="1:13" ht="22.5" x14ac:dyDescent="0.2">
      <c r="A168" s="214">
        <v>2</v>
      </c>
      <c r="B168" s="308" t="s">
        <v>263</v>
      </c>
      <c r="C168" s="308" t="s">
        <v>263</v>
      </c>
      <c r="D168" s="313" t="s">
        <v>264</v>
      </c>
      <c r="E168" s="310"/>
      <c r="F168" s="210"/>
      <c r="G168" s="319"/>
      <c r="H168" s="320">
        <f>H171+H192+H197</f>
        <v>1098.9000000000001</v>
      </c>
      <c r="I168" s="307"/>
      <c r="J168" s="157"/>
      <c r="K168" s="163"/>
      <c r="L168" s="57"/>
      <c r="M168" s="60"/>
    </row>
    <row r="169" spans="1:13" ht="78.75" x14ac:dyDescent="0.2">
      <c r="A169" s="214">
        <v>2</v>
      </c>
      <c r="B169" s="215"/>
      <c r="C169" s="215" t="s">
        <v>265</v>
      </c>
      <c r="D169" s="321" t="s">
        <v>266</v>
      </c>
      <c r="E169" s="210">
        <v>32</v>
      </c>
      <c r="F169" s="209" t="s">
        <v>267</v>
      </c>
      <c r="G169" s="322" t="s">
        <v>268</v>
      </c>
      <c r="H169" s="323">
        <f>SUM(H177,H178,H179,H180,H181,H182,H183,H187,H188,H185,H186)</f>
        <v>289.39999999999998</v>
      </c>
      <c r="I169" s="307"/>
      <c r="J169" s="968" t="s">
        <v>2103</v>
      </c>
      <c r="K169" s="181" t="s">
        <v>269</v>
      </c>
      <c r="L169" s="45">
        <v>59.5</v>
      </c>
      <c r="M169" s="60"/>
    </row>
    <row r="170" spans="1:13" x14ac:dyDescent="0.2">
      <c r="A170" s="214">
        <v>2</v>
      </c>
      <c r="B170" s="215"/>
      <c r="C170" s="215" t="s">
        <v>265</v>
      </c>
      <c r="D170" s="209"/>
      <c r="E170" s="210">
        <v>32</v>
      </c>
      <c r="F170" s="209" t="s">
        <v>267</v>
      </c>
      <c r="G170" s="322" t="s">
        <v>19</v>
      </c>
      <c r="H170" s="323">
        <f>SUM(H172:H176,H184)</f>
        <v>268</v>
      </c>
      <c r="I170" s="307" t="s">
        <v>64</v>
      </c>
      <c r="J170" s="157"/>
      <c r="K170" s="163"/>
      <c r="L170" s="57"/>
      <c r="M170" s="60"/>
    </row>
    <row r="171" spans="1:13" x14ac:dyDescent="0.2">
      <c r="A171" s="214">
        <v>2</v>
      </c>
      <c r="B171" s="215"/>
      <c r="C171" s="224"/>
      <c r="D171" s="209"/>
      <c r="E171" s="210"/>
      <c r="F171" s="209" t="s">
        <v>267</v>
      </c>
      <c r="G171" s="312" t="s">
        <v>247</v>
      </c>
      <c r="H171" s="220">
        <f>H169+H170</f>
        <v>557.4</v>
      </c>
      <c r="I171" s="307"/>
      <c r="J171" s="157"/>
      <c r="K171" s="163"/>
      <c r="L171" s="57"/>
      <c r="M171" s="60"/>
    </row>
    <row r="172" spans="1:13" ht="45" x14ac:dyDescent="0.2">
      <c r="A172" s="214">
        <v>2</v>
      </c>
      <c r="B172" s="324"/>
      <c r="C172" s="325" t="s">
        <v>270</v>
      </c>
      <c r="D172" s="330" t="s">
        <v>271</v>
      </c>
      <c r="E172" s="326">
        <v>32</v>
      </c>
      <c r="F172" s="327" t="s">
        <v>272</v>
      </c>
      <c r="G172" s="328" t="s">
        <v>19</v>
      </c>
      <c r="H172" s="329">
        <v>30</v>
      </c>
      <c r="I172" s="307" t="s">
        <v>58</v>
      </c>
      <c r="J172" s="875" t="s">
        <v>273</v>
      </c>
      <c r="K172" s="876" t="s">
        <v>274</v>
      </c>
      <c r="L172" s="877">
        <v>1</v>
      </c>
      <c r="M172" s="60" t="s">
        <v>190</v>
      </c>
    </row>
    <row r="173" spans="1:13" ht="33.75" x14ac:dyDescent="0.2">
      <c r="A173" s="214">
        <v>2</v>
      </c>
      <c r="B173" s="324"/>
      <c r="C173" s="325" t="s">
        <v>275</v>
      </c>
      <c r="D173" s="330" t="s">
        <v>276</v>
      </c>
      <c r="E173" s="326">
        <v>21</v>
      </c>
      <c r="F173" s="327" t="s">
        <v>277</v>
      </c>
      <c r="G173" s="328" t="s">
        <v>19</v>
      </c>
      <c r="H173" s="329">
        <v>18</v>
      </c>
      <c r="I173" s="307" t="s">
        <v>58</v>
      </c>
      <c r="J173" s="850" t="s">
        <v>278</v>
      </c>
      <c r="K173" s="851" t="s">
        <v>279</v>
      </c>
      <c r="L173" s="852">
        <v>1</v>
      </c>
      <c r="M173" s="163" t="s">
        <v>187</v>
      </c>
    </row>
    <row r="174" spans="1:13" ht="33.75" x14ac:dyDescent="0.2">
      <c r="A174" s="302">
        <v>2</v>
      </c>
      <c r="B174" s="331"/>
      <c r="C174" s="334" t="s">
        <v>280</v>
      </c>
      <c r="D174" s="337" t="s">
        <v>281</v>
      </c>
      <c r="E174" s="332">
        <v>32</v>
      </c>
      <c r="F174" s="333" t="s">
        <v>272</v>
      </c>
      <c r="G174" s="335" t="s">
        <v>19</v>
      </c>
      <c r="H174" s="336">
        <v>80</v>
      </c>
      <c r="I174" s="307" t="s">
        <v>196</v>
      </c>
      <c r="J174" s="805" t="s">
        <v>282</v>
      </c>
      <c r="K174" s="878" t="s">
        <v>283</v>
      </c>
      <c r="L174" s="879">
        <v>3</v>
      </c>
      <c r="M174" s="805" t="s">
        <v>183</v>
      </c>
    </row>
    <row r="175" spans="1:13" ht="33.75" x14ac:dyDescent="0.2">
      <c r="A175" s="214">
        <v>2</v>
      </c>
      <c r="B175" s="331"/>
      <c r="C175" s="334" t="s">
        <v>284</v>
      </c>
      <c r="D175" s="337" t="s">
        <v>285</v>
      </c>
      <c r="E175" s="332">
        <v>32</v>
      </c>
      <c r="F175" s="333" t="s">
        <v>272</v>
      </c>
      <c r="G175" s="335" t="s">
        <v>19</v>
      </c>
      <c r="H175" s="336">
        <v>62</v>
      </c>
      <c r="I175" s="307" t="s">
        <v>196</v>
      </c>
      <c r="J175" s="805" t="s">
        <v>282</v>
      </c>
      <c r="K175" s="878" t="s">
        <v>283</v>
      </c>
      <c r="L175" s="879">
        <v>1.8</v>
      </c>
      <c r="M175" s="805" t="s">
        <v>183</v>
      </c>
    </row>
    <row r="176" spans="1:13" x14ac:dyDescent="0.2">
      <c r="A176" s="214">
        <v>2</v>
      </c>
      <c r="B176" s="331"/>
      <c r="C176" s="338" t="s">
        <v>286</v>
      </c>
      <c r="D176" s="1019" t="s">
        <v>287</v>
      </c>
      <c r="E176" s="339">
        <v>32</v>
      </c>
      <c r="F176" s="340" t="s">
        <v>267</v>
      </c>
      <c r="G176" s="335" t="s">
        <v>19</v>
      </c>
      <c r="H176" s="323">
        <v>18</v>
      </c>
      <c r="I176" s="307"/>
      <c r="J176" s="157"/>
      <c r="K176" s="163"/>
      <c r="L176" s="57"/>
      <c r="M176" s="805"/>
    </row>
    <row r="177" spans="1:13" ht="22.5" x14ac:dyDescent="0.2">
      <c r="A177" s="214">
        <v>2</v>
      </c>
      <c r="B177" s="341"/>
      <c r="C177" s="338"/>
      <c r="D177" s="1020"/>
      <c r="E177" s="339">
        <v>32</v>
      </c>
      <c r="F177" s="340" t="s">
        <v>267</v>
      </c>
      <c r="G177" s="342" t="s">
        <v>268</v>
      </c>
      <c r="H177" s="343">
        <v>87</v>
      </c>
      <c r="I177" s="344"/>
      <c r="J177" s="880" t="s">
        <v>288</v>
      </c>
      <c r="K177" s="881" t="s">
        <v>289</v>
      </c>
      <c r="L177" s="882">
        <v>50</v>
      </c>
      <c r="M177" s="61"/>
    </row>
    <row r="178" spans="1:13" ht="22.5" x14ac:dyDescent="0.2">
      <c r="A178" s="302">
        <v>2</v>
      </c>
      <c r="B178" s="345"/>
      <c r="C178" s="346" t="s">
        <v>290</v>
      </c>
      <c r="D178" s="347" t="s">
        <v>291</v>
      </c>
      <c r="E178" s="348">
        <v>32</v>
      </c>
      <c r="F178" s="349" t="s">
        <v>267</v>
      </c>
      <c r="G178" s="350" t="s">
        <v>268</v>
      </c>
      <c r="H178" s="343">
        <v>5</v>
      </c>
      <c r="I178" s="344"/>
      <c r="J178" s="806" t="s">
        <v>273</v>
      </c>
      <c r="K178" s="176" t="s">
        <v>292</v>
      </c>
      <c r="L178" s="883">
        <v>53</v>
      </c>
      <c r="M178" s="58"/>
    </row>
    <row r="179" spans="1:13" ht="33.75" x14ac:dyDescent="0.2">
      <c r="A179" s="214">
        <v>2</v>
      </c>
      <c r="B179" s="324"/>
      <c r="C179" s="325" t="s">
        <v>293</v>
      </c>
      <c r="D179" s="351" t="s">
        <v>294</v>
      </c>
      <c r="E179" s="326">
        <v>32</v>
      </c>
      <c r="F179" s="327" t="s">
        <v>267</v>
      </c>
      <c r="G179" s="350" t="s">
        <v>268</v>
      </c>
      <c r="H179" s="343">
        <v>62.5</v>
      </c>
      <c r="I179" s="344"/>
      <c r="J179" s="875" t="s">
        <v>288</v>
      </c>
      <c r="K179" s="163" t="s">
        <v>295</v>
      </c>
      <c r="L179" s="877">
        <v>53</v>
      </c>
      <c r="M179" s="60"/>
    </row>
    <row r="180" spans="1:13" ht="33.75" x14ac:dyDescent="0.2">
      <c r="A180" s="214">
        <v>2</v>
      </c>
      <c r="B180" s="324"/>
      <c r="C180" s="325" t="s">
        <v>296</v>
      </c>
      <c r="D180" s="351" t="s">
        <v>297</v>
      </c>
      <c r="E180" s="326">
        <v>26</v>
      </c>
      <c r="F180" s="327" t="s">
        <v>2094</v>
      </c>
      <c r="G180" s="350" t="s">
        <v>268</v>
      </c>
      <c r="H180" s="329">
        <v>18</v>
      </c>
      <c r="I180" s="352"/>
      <c r="J180" s="370" t="s">
        <v>399</v>
      </c>
      <c r="K180" s="370" t="s">
        <v>2104</v>
      </c>
      <c r="L180" s="214">
        <v>6</v>
      </c>
      <c r="M180" s="60"/>
    </row>
    <row r="181" spans="1:13" ht="22.5" x14ac:dyDescent="0.2">
      <c r="A181" s="214">
        <v>2</v>
      </c>
      <c r="B181" s="324"/>
      <c r="C181" s="325" t="s">
        <v>298</v>
      </c>
      <c r="D181" s="351" t="s">
        <v>299</v>
      </c>
      <c r="E181" s="326">
        <v>32</v>
      </c>
      <c r="F181" s="327" t="s">
        <v>272</v>
      </c>
      <c r="G181" s="350" t="s">
        <v>268</v>
      </c>
      <c r="H181" s="329"/>
      <c r="I181" s="352"/>
      <c r="J181" s="875"/>
      <c r="K181" s="884"/>
      <c r="L181" s="877"/>
      <c r="M181" s="60" t="s">
        <v>190</v>
      </c>
    </row>
    <row r="182" spans="1:13" ht="56.25" x14ac:dyDescent="0.2">
      <c r="A182" s="214">
        <v>2</v>
      </c>
      <c r="B182" s="324"/>
      <c r="C182" s="325" t="s">
        <v>301</v>
      </c>
      <c r="D182" s="351" t="s">
        <v>302</v>
      </c>
      <c r="E182" s="326">
        <v>32</v>
      </c>
      <c r="F182" s="327" t="s">
        <v>267</v>
      </c>
      <c r="G182" s="350" t="s">
        <v>268</v>
      </c>
      <c r="H182" s="329">
        <f>11.8+1.6</f>
        <v>13.4</v>
      </c>
      <c r="I182" s="352"/>
      <c r="J182" s="804" t="s">
        <v>288</v>
      </c>
      <c r="K182" s="884" t="s">
        <v>303</v>
      </c>
      <c r="L182" s="885">
        <v>100</v>
      </c>
      <c r="M182" s="804" t="s">
        <v>198</v>
      </c>
    </row>
    <row r="183" spans="1:13" ht="45" x14ac:dyDescent="0.2">
      <c r="A183" s="302">
        <v>2</v>
      </c>
      <c r="B183" s="353"/>
      <c r="C183" s="354" t="s">
        <v>304</v>
      </c>
      <c r="D183" s="1021" t="s">
        <v>305</v>
      </c>
      <c r="E183" s="355">
        <v>32</v>
      </c>
      <c r="F183" s="356" t="s">
        <v>272</v>
      </c>
      <c r="G183" s="350" t="s">
        <v>268</v>
      </c>
      <c r="H183" s="343">
        <v>37</v>
      </c>
      <c r="I183" s="352"/>
      <c r="J183" s="884" t="s">
        <v>306</v>
      </c>
      <c r="K183" s="884" t="s">
        <v>307</v>
      </c>
      <c r="L183" s="886">
        <v>6</v>
      </c>
      <c r="M183" s="806" t="s">
        <v>308</v>
      </c>
    </row>
    <row r="184" spans="1:13" x14ac:dyDescent="0.2">
      <c r="A184" s="214">
        <v>2</v>
      </c>
      <c r="B184" s="353"/>
      <c r="C184" s="357"/>
      <c r="D184" s="1022"/>
      <c r="E184" s="355">
        <v>32</v>
      </c>
      <c r="F184" s="356" t="s">
        <v>267</v>
      </c>
      <c r="G184" s="358" t="s">
        <v>19</v>
      </c>
      <c r="H184" s="343">
        <v>60</v>
      </c>
      <c r="I184" s="352"/>
      <c r="J184" s="884" t="s">
        <v>306</v>
      </c>
      <c r="K184" s="884"/>
      <c r="L184" s="886"/>
      <c r="M184" s="806"/>
    </row>
    <row r="185" spans="1:13" x14ac:dyDescent="0.2">
      <c r="A185" s="214">
        <v>2</v>
      </c>
      <c r="B185" s="353"/>
      <c r="C185" s="357"/>
      <c r="D185" s="1023"/>
      <c r="E185" s="353">
        <v>20</v>
      </c>
      <c r="F185" s="356" t="s">
        <v>309</v>
      </c>
      <c r="G185" s="350" t="s">
        <v>268</v>
      </c>
      <c r="H185" s="343"/>
      <c r="I185" s="352"/>
      <c r="J185" s="884"/>
      <c r="K185" s="884"/>
      <c r="L185" s="886"/>
      <c r="M185" s="806" t="s">
        <v>308</v>
      </c>
    </row>
    <row r="186" spans="1:13" ht="33.75" x14ac:dyDescent="0.2">
      <c r="A186" s="214">
        <v>2</v>
      </c>
      <c r="B186" s="353"/>
      <c r="C186" s="357" t="s">
        <v>310</v>
      </c>
      <c r="D186" s="347" t="s">
        <v>311</v>
      </c>
      <c r="E186" s="353">
        <v>32</v>
      </c>
      <c r="F186" s="359" t="s">
        <v>272</v>
      </c>
      <c r="G186" s="350" t="s">
        <v>268</v>
      </c>
      <c r="H186" s="343"/>
      <c r="I186" s="352"/>
      <c r="J186" s="884" t="s">
        <v>288</v>
      </c>
      <c r="K186" s="884"/>
      <c r="L186" s="886"/>
      <c r="M186" s="806"/>
    </row>
    <row r="187" spans="1:13" ht="33.75" x14ac:dyDescent="0.2">
      <c r="A187" s="214">
        <v>2</v>
      </c>
      <c r="B187" s="353"/>
      <c r="C187" s="357" t="s">
        <v>312</v>
      </c>
      <c r="D187" s="347" t="s">
        <v>313</v>
      </c>
      <c r="E187" s="353">
        <v>32</v>
      </c>
      <c r="F187" s="359" t="s">
        <v>272</v>
      </c>
      <c r="G187" s="350" t="s">
        <v>268</v>
      </c>
      <c r="H187" s="343">
        <v>66.5</v>
      </c>
      <c r="I187" s="352"/>
      <c r="J187" s="884" t="s">
        <v>306</v>
      </c>
      <c r="K187" s="884" t="s">
        <v>314</v>
      </c>
      <c r="L187" s="886">
        <v>3.5</v>
      </c>
      <c r="M187" s="806" t="s">
        <v>246</v>
      </c>
    </row>
    <row r="188" spans="1:13" ht="33.75" x14ac:dyDescent="0.2">
      <c r="A188" s="302">
        <v>2</v>
      </c>
      <c r="B188" s="353"/>
      <c r="C188" s="357" t="s">
        <v>315</v>
      </c>
      <c r="D188" s="349" t="s">
        <v>316</v>
      </c>
      <c r="E188" s="353">
        <v>32</v>
      </c>
      <c r="F188" s="359" t="s">
        <v>272</v>
      </c>
      <c r="G188" s="350" t="s">
        <v>268</v>
      </c>
      <c r="H188" s="343"/>
      <c r="I188" s="352"/>
      <c r="J188" s="884" t="s">
        <v>288</v>
      </c>
      <c r="K188" s="884"/>
      <c r="L188" s="886"/>
      <c r="M188" s="806"/>
    </row>
    <row r="189" spans="1:13" ht="33.75" x14ac:dyDescent="0.2">
      <c r="A189" s="214">
        <v>2</v>
      </c>
      <c r="B189" s="345"/>
      <c r="C189" s="345" t="s">
        <v>317</v>
      </c>
      <c r="D189" s="360" t="s">
        <v>318</v>
      </c>
      <c r="E189" s="348">
        <v>32</v>
      </c>
      <c r="F189" s="349" t="s">
        <v>319</v>
      </c>
      <c r="G189" s="361" t="s">
        <v>56</v>
      </c>
      <c r="H189" s="362">
        <v>39</v>
      </c>
      <c r="I189" s="363"/>
      <c r="J189" s="884" t="s">
        <v>273</v>
      </c>
      <c r="K189" s="884" t="s">
        <v>320</v>
      </c>
      <c r="L189" s="886">
        <v>10</v>
      </c>
      <c r="M189" s="58" t="s">
        <v>190</v>
      </c>
    </row>
    <row r="190" spans="1:13" x14ac:dyDescent="0.2">
      <c r="A190" s="214">
        <v>2</v>
      </c>
      <c r="B190" s="345"/>
      <c r="C190" s="345" t="s">
        <v>317</v>
      </c>
      <c r="D190" s="349"/>
      <c r="E190" s="348">
        <v>32</v>
      </c>
      <c r="F190" s="349" t="s">
        <v>319</v>
      </c>
      <c r="G190" s="361" t="s">
        <v>59</v>
      </c>
      <c r="H190" s="362">
        <v>6.9</v>
      </c>
      <c r="I190" s="363"/>
      <c r="J190" s="884" t="s">
        <v>273</v>
      </c>
      <c r="K190" s="884"/>
      <c r="L190" s="886"/>
      <c r="M190" s="58" t="s">
        <v>190</v>
      </c>
    </row>
    <row r="191" spans="1:13" x14ac:dyDescent="0.2">
      <c r="A191" s="214">
        <v>2</v>
      </c>
      <c r="B191" s="324"/>
      <c r="C191" s="324" t="s">
        <v>317</v>
      </c>
      <c r="D191" s="327"/>
      <c r="E191" s="326">
        <v>32</v>
      </c>
      <c r="F191" s="327" t="s">
        <v>319</v>
      </c>
      <c r="G191" s="364" t="s">
        <v>19</v>
      </c>
      <c r="H191" s="223">
        <v>64.5</v>
      </c>
      <c r="I191" s="363" t="s">
        <v>58</v>
      </c>
      <c r="J191" s="884" t="s">
        <v>273</v>
      </c>
      <c r="K191" s="884"/>
      <c r="L191" s="886"/>
      <c r="M191" s="58" t="s">
        <v>190</v>
      </c>
    </row>
    <row r="192" spans="1:13" x14ac:dyDescent="0.2">
      <c r="A192" s="214">
        <v>2</v>
      </c>
      <c r="B192" s="324"/>
      <c r="C192" s="324" t="s">
        <v>317</v>
      </c>
      <c r="D192" s="327"/>
      <c r="E192" s="326">
        <v>32</v>
      </c>
      <c r="F192" s="327" t="s">
        <v>319</v>
      </c>
      <c r="G192" s="365" t="s">
        <v>247</v>
      </c>
      <c r="H192" s="366">
        <f>SUM(H189:H191)</f>
        <v>110.4</v>
      </c>
      <c r="I192" s="363"/>
      <c r="J192" s="885"/>
      <c r="K192" s="884"/>
      <c r="L192" s="886"/>
      <c r="M192" s="60"/>
    </row>
    <row r="193" spans="1:13" ht="22.5" x14ac:dyDescent="0.2">
      <c r="A193" s="302">
        <v>2</v>
      </c>
      <c r="B193" s="324"/>
      <c r="C193" s="324" t="s">
        <v>321</v>
      </c>
      <c r="D193" s="360" t="s">
        <v>322</v>
      </c>
      <c r="E193" s="326">
        <v>32</v>
      </c>
      <c r="F193" s="327" t="s">
        <v>323</v>
      </c>
      <c r="G193" s="364" t="s">
        <v>56</v>
      </c>
      <c r="H193" s="323">
        <v>238.2</v>
      </c>
      <c r="I193" s="363"/>
      <c r="J193" s="887" t="s">
        <v>273</v>
      </c>
      <c r="K193" s="888" t="s">
        <v>324</v>
      </c>
      <c r="L193" s="886">
        <v>8</v>
      </c>
      <c r="M193" s="806" t="s">
        <v>308</v>
      </c>
    </row>
    <row r="194" spans="1:13" x14ac:dyDescent="0.2">
      <c r="A194" s="214">
        <v>2</v>
      </c>
      <c r="B194" s="324"/>
      <c r="C194" s="324" t="s">
        <v>321</v>
      </c>
      <c r="D194" s="327"/>
      <c r="E194" s="326">
        <v>32</v>
      </c>
      <c r="F194" s="327" t="s">
        <v>323</v>
      </c>
      <c r="G194" s="364" t="s">
        <v>59</v>
      </c>
      <c r="H194" s="323">
        <v>42.1</v>
      </c>
      <c r="I194" s="363"/>
      <c r="J194" s="885"/>
      <c r="K194" s="884"/>
      <c r="L194" s="886"/>
      <c r="M194" s="806" t="s">
        <v>308</v>
      </c>
    </row>
    <row r="195" spans="1:13" x14ac:dyDescent="0.2">
      <c r="A195" s="214">
        <v>2</v>
      </c>
      <c r="B195" s="324"/>
      <c r="C195" s="324" t="s">
        <v>321</v>
      </c>
      <c r="D195" s="327"/>
      <c r="E195" s="326">
        <v>32</v>
      </c>
      <c r="F195" s="327" t="s">
        <v>323</v>
      </c>
      <c r="G195" s="364" t="s">
        <v>325</v>
      </c>
      <c r="H195" s="323">
        <v>86.2</v>
      </c>
      <c r="I195" s="363"/>
      <c r="J195" s="885"/>
      <c r="K195" s="884"/>
      <c r="L195" s="886"/>
      <c r="M195" s="806" t="s">
        <v>308</v>
      </c>
    </row>
    <row r="196" spans="1:13" x14ac:dyDescent="0.2">
      <c r="A196" s="214">
        <v>2</v>
      </c>
      <c r="B196" s="324"/>
      <c r="C196" s="324" t="s">
        <v>321</v>
      </c>
      <c r="D196" s="327"/>
      <c r="E196" s="326">
        <v>32</v>
      </c>
      <c r="F196" s="327" t="s">
        <v>323</v>
      </c>
      <c r="G196" s="364" t="s">
        <v>19</v>
      </c>
      <c r="H196" s="323">
        <v>64.599999999999994</v>
      </c>
      <c r="I196" s="363" t="s">
        <v>58</v>
      </c>
      <c r="J196" s="885"/>
      <c r="K196" s="884"/>
      <c r="L196" s="886"/>
      <c r="M196" s="806" t="s">
        <v>308</v>
      </c>
    </row>
    <row r="197" spans="1:13" x14ac:dyDescent="0.2">
      <c r="A197" s="214">
        <v>2</v>
      </c>
      <c r="B197" s="324"/>
      <c r="C197" s="324" t="s">
        <v>321</v>
      </c>
      <c r="D197" s="327"/>
      <c r="E197" s="326">
        <v>32</v>
      </c>
      <c r="F197" s="327" t="s">
        <v>323</v>
      </c>
      <c r="G197" s="365" t="s">
        <v>247</v>
      </c>
      <c r="H197" s="366">
        <f>SUM(H193:H196)</f>
        <v>431.1</v>
      </c>
      <c r="I197" s="307"/>
      <c r="J197" s="157"/>
      <c r="K197" s="163"/>
      <c r="L197" s="57"/>
      <c r="M197" s="60"/>
    </row>
    <row r="198" spans="1:13" ht="33.75" x14ac:dyDescent="0.2">
      <c r="A198" s="214">
        <v>2</v>
      </c>
      <c r="B198" s="324"/>
      <c r="C198" s="970" t="s">
        <v>2088</v>
      </c>
      <c r="D198" s="327" t="s">
        <v>2089</v>
      </c>
      <c r="E198" s="326">
        <v>32</v>
      </c>
      <c r="F198" s="327" t="s">
        <v>2090</v>
      </c>
      <c r="G198" s="361" t="s">
        <v>21</v>
      </c>
      <c r="H198" s="362">
        <v>479.4</v>
      </c>
      <c r="I198" s="307"/>
      <c r="J198" s="969" t="s">
        <v>273</v>
      </c>
      <c r="K198" s="370" t="s">
        <v>2092</v>
      </c>
      <c r="L198" s="311">
        <v>6</v>
      </c>
      <c r="M198" s="163" t="s">
        <v>1267</v>
      </c>
    </row>
    <row r="199" spans="1:13" ht="33.75" x14ac:dyDescent="0.2">
      <c r="A199" s="214">
        <v>2</v>
      </c>
      <c r="B199" s="324"/>
      <c r="C199" s="970" t="s">
        <v>2088</v>
      </c>
      <c r="D199" s="327"/>
      <c r="E199" s="326">
        <v>26</v>
      </c>
      <c r="F199" s="327" t="s">
        <v>2091</v>
      </c>
      <c r="G199" s="364" t="s">
        <v>21</v>
      </c>
      <c r="H199" s="223">
        <v>20.6</v>
      </c>
      <c r="I199" s="307"/>
      <c r="J199" s="370" t="s">
        <v>2093</v>
      </c>
      <c r="K199" s="370" t="s">
        <v>2105</v>
      </c>
      <c r="L199" s="311">
        <v>1</v>
      </c>
      <c r="M199" s="163" t="s">
        <v>1267</v>
      </c>
    </row>
    <row r="200" spans="1:13" x14ac:dyDescent="0.2">
      <c r="A200" s="214">
        <v>2</v>
      </c>
      <c r="B200" s="324"/>
      <c r="C200" s="970" t="s">
        <v>2088</v>
      </c>
      <c r="D200" s="327"/>
      <c r="E200" s="326"/>
      <c r="F200" s="327"/>
      <c r="G200" s="365" t="s">
        <v>247</v>
      </c>
      <c r="H200" s="366">
        <f>SUM(H198:H199)</f>
        <v>500</v>
      </c>
      <c r="I200" s="307"/>
      <c r="J200" s="157"/>
      <c r="K200" s="163"/>
      <c r="L200" s="57"/>
      <c r="M200" s="60"/>
    </row>
    <row r="201" spans="1:13" x14ac:dyDescent="0.2">
      <c r="A201" s="302">
        <v>2</v>
      </c>
      <c r="B201" s="308" t="s">
        <v>326</v>
      </c>
      <c r="C201" s="308" t="s">
        <v>326</v>
      </c>
      <c r="D201" s="313" t="s">
        <v>327</v>
      </c>
      <c r="E201" s="310"/>
      <c r="F201" s="210"/>
      <c r="G201" s="323"/>
      <c r="H201" s="207">
        <f>H203+H212</f>
        <v>410.8</v>
      </c>
      <c r="I201" s="307"/>
      <c r="J201" s="157"/>
      <c r="K201" s="163"/>
      <c r="L201" s="57"/>
      <c r="M201" s="60"/>
    </row>
    <row r="202" spans="1:13" ht="45" x14ac:dyDescent="0.2">
      <c r="A202" s="214">
        <v>2</v>
      </c>
      <c r="B202" s="215"/>
      <c r="C202" s="215" t="s">
        <v>328</v>
      </c>
      <c r="D202" s="321" t="s">
        <v>329</v>
      </c>
      <c r="E202" s="210">
        <v>32</v>
      </c>
      <c r="F202" s="210" t="s">
        <v>330</v>
      </c>
      <c r="G202" s="323" t="s">
        <v>268</v>
      </c>
      <c r="H202" s="323">
        <f>SUM(H204,H205,H208,H209,H210,H206,H207)</f>
        <v>407.3</v>
      </c>
      <c r="I202" s="307"/>
      <c r="J202" s="889" t="s">
        <v>273</v>
      </c>
      <c r="K202" s="181" t="s">
        <v>331</v>
      </c>
      <c r="L202" s="157">
        <v>100</v>
      </c>
      <c r="M202" s="60" t="s">
        <v>332</v>
      </c>
    </row>
    <row r="203" spans="1:13" x14ac:dyDescent="0.2">
      <c r="A203" s="214">
        <v>2</v>
      </c>
      <c r="B203" s="215"/>
      <c r="C203" s="215" t="s">
        <v>328</v>
      </c>
      <c r="D203" s="209"/>
      <c r="E203" s="210"/>
      <c r="F203" s="209"/>
      <c r="G203" s="312" t="s">
        <v>247</v>
      </c>
      <c r="H203" s="220">
        <f>H202</f>
        <v>407.3</v>
      </c>
      <c r="I203" s="307"/>
      <c r="J203" s="157"/>
      <c r="K203" s="163"/>
      <c r="L203" s="57"/>
      <c r="M203" s="60"/>
    </row>
    <row r="204" spans="1:13" ht="33.75" x14ac:dyDescent="0.2">
      <c r="A204" s="214">
        <v>2</v>
      </c>
      <c r="B204" s="215"/>
      <c r="C204" s="215" t="s">
        <v>333</v>
      </c>
      <c r="D204" s="209" t="s">
        <v>334</v>
      </c>
      <c r="E204" s="210">
        <v>32</v>
      </c>
      <c r="F204" s="210" t="s">
        <v>330</v>
      </c>
      <c r="G204" s="350" t="s">
        <v>268</v>
      </c>
      <c r="H204" s="329">
        <v>99.8</v>
      </c>
      <c r="I204" s="363"/>
      <c r="J204" s="884" t="s">
        <v>273</v>
      </c>
      <c r="K204" s="884" t="s">
        <v>335</v>
      </c>
      <c r="L204" s="886">
        <v>77</v>
      </c>
      <c r="M204" s="60"/>
    </row>
    <row r="205" spans="1:13" ht="45" x14ac:dyDescent="0.2">
      <c r="A205" s="214">
        <v>2</v>
      </c>
      <c r="B205" s="215"/>
      <c r="C205" s="215" t="s">
        <v>336</v>
      </c>
      <c r="D205" s="209" t="s">
        <v>337</v>
      </c>
      <c r="E205" s="210">
        <v>32</v>
      </c>
      <c r="F205" s="210" t="s">
        <v>330</v>
      </c>
      <c r="G205" s="350" t="s">
        <v>268</v>
      </c>
      <c r="H205" s="329">
        <v>180</v>
      </c>
      <c r="I205" s="363"/>
      <c r="J205" s="884" t="s">
        <v>273</v>
      </c>
      <c r="K205" s="884" t="s">
        <v>338</v>
      </c>
      <c r="L205" s="886">
        <v>7</v>
      </c>
      <c r="M205" s="60"/>
    </row>
    <row r="206" spans="1:13" ht="33.75" x14ac:dyDescent="0.2">
      <c r="A206" s="302">
        <v>2</v>
      </c>
      <c r="B206" s="215"/>
      <c r="C206" s="215" t="s">
        <v>339</v>
      </c>
      <c r="D206" s="209" t="s">
        <v>340</v>
      </c>
      <c r="E206" s="210">
        <v>32</v>
      </c>
      <c r="F206" s="210" t="s">
        <v>330</v>
      </c>
      <c r="G206" s="350" t="s">
        <v>268</v>
      </c>
      <c r="H206" s="329">
        <f>25-14.9</f>
        <v>10.1</v>
      </c>
      <c r="I206" s="363"/>
      <c r="J206" s="884" t="s">
        <v>273</v>
      </c>
      <c r="K206" s="161"/>
      <c r="L206" s="45"/>
      <c r="M206" s="60"/>
    </row>
    <row r="207" spans="1:13" ht="33.75" x14ac:dyDescent="0.2">
      <c r="A207" s="302">
        <v>2</v>
      </c>
      <c r="B207" s="215"/>
      <c r="C207" s="215" t="s">
        <v>339</v>
      </c>
      <c r="D207" s="209" t="s">
        <v>340</v>
      </c>
      <c r="E207" s="210">
        <v>26</v>
      </c>
      <c r="F207" s="210" t="s">
        <v>2095</v>
      </c>
      <c r="G207" s="350" t="s">
        <v>268</v>
      </c>
      <c r="H207" s="329">
        <v>14.9</v>
      </c>
      <c r="I207" s="329">
        <v>14.9</v>
      </c>
      <c r="J207" s="268" t="s">
        <v>399</v>
      </c>
      <c r="K207" s="268" t="s">
        <v>2106</v>
      </c>
      <c r="L207" s="270">
        <v>1</v>
      </c>
      <c r="M207" s="60"/>
    </row>
    <row r="208" spans="1:13" ht="22.5" x14ac:dyDescent="0.2">
      <c r="A208" s="214">
        <v>2</v>
      </c>
      <c r="B208" s="215"/>
      <c r="C208" s="215" t="s">
        <v>341</v>
      </c>
      <c r="D208" s="807" t="s">
        <v>342</v>
      </c>
      <c r="E208" s="210">
        <v>32</v>
      </c>
      <c r="F208" s="210" t="s">
        <v>330</v>
      </c>
      <c r="G208" s="350" t="s">
        <v>268</v>
      </c>
      <c r="H208" s="329">
        <v>87</v>
      </c>
      <c r="I208" s="363"/>
      <c r="J208" s="884" t="s">
        <v>273</v>
      </c>
      <c r="K208" s="884" t="s">
        <v>300</v>
      </c>
      <c r="L208" s="886">
        <v>1.5</v>
      </c>
      <c r="M208" s="60" t="s">
        <v>190</v>
      </c>
    </row>
    <row r="209" spans="1:13" ht="22.5" x14ac:dyDescent="0.2">
      <c r="A209" s="214">
        <v>2</v>
      </c>
      <c r="B209" s="215"/>
      <c r="C209" s="367" t="s">
        <v>343</v>
      </c>
      <c r="D209" s="368" t="s">
        <v>344</v>
      </c>
      <c r="E209" s="234">
        <v>32</v>
      </c>
      <c r="F209" s="210" t="s">
        <v>330</v>
      </c>
      <c r="G209" s="350" t="s">
        <v>268</v>
      </c>
      <c r="H209" s="329">
        <v>1.5</v>
      </c>
      <c r="I209" s="363"/>
      <c r="J209" s="884" t="s">
        <v>273</v>
      </c>
      <c r="K209" s="884" t="s">
        <v>345</v>
      </c>
      <c r="L209" s="886">
        <v>1</v>
      </c>
      <c r="M209" s="60" t="s">
        <v>190</v>
      </c>
    </row>
    <row r="210" spans="1:13" x14ac:dyDescent="0.2">
      <c r="A210" s="214">
        <v>2</v>
      </c>
      <c r="B210" s="215"/>
      <c r="C210" s="367" t="s">
        <v>346</v>
      </c>
      <c r="D210" s="368" t="s">
        <v>347</v>
      </c>
      <c r="E210" s="234">
        <v>32</v>
      </c>
      <c r="F210" s="210" t="s">
        <v>348</v>
      </c>
      <c r="G210" s="350" t="s">
        <v>268</v>
      </c>
      <c r="H210" s="329">
        <v>14</v>
      </c>
      <c r="I210" s="363"/>
      <c r="J210" s="884"/>
      <c r="K210" s="884"/>
      <c r="L210" s="886"/>
      <c r="M210" s="60" t="s">
        <v>190</v>
      </c>
    </row>
    <row r="211" spans="1:13" ht="45" x14ac:dyDescent="0.2">
      <c r="A211" s="214">
        <v>2</v>
      </c>
      <c r="B211" s="215" t="s">
        <v>326</v>
      </c>
      <c r="C211" s="215" t="s">
        <v>349</v>
      </c>
      <c r="D211" s="369" t="s">
        <v>350</v>
      </c>
      <c r="E211" s="210">
        <v>32</v>
      </c>
      <c r="F211" s="210" t="s">
        <v>351</v>
      </c>
      <c r="G211" s="350" t="s">
        <v>268</v>
      </c>
      <c r="H211" s="223">
        <v>3.5</v>
      </c>
      <c r="I211" s="363"/>
      <c r="J211" s="890" t="s">
        <v>288</v>
      </c>
      <c r="K211" s="888" t="s">
        <v>352</v>
      </c>
      <c r="L211" s="157">
        <v>1</v>
      </c>
      <c r="M211" s="60"/>
    </row>
    <row r="212" spans="1:13" x14ac:dyDescent="0.2">
      <c r="A212" s="302">
        <v>2</v>
      </c>
      <c r="B212" s="215" t="s">
        <v>326</v>
      </c>
      <c r="C212" s="215" t="s">
        <v>349</v>
      </c>
      <c r="D212" s="209"/>
      <c r="E212" s="210"/>
      <c r="F212" s="210" t="s">
        <v>351</v>
      </c>
      <c r="G212" s="312" t="s">
        <v>247</v>
      </c>
      <c r="H212" s="220">
        <f>H211</f>
        <v>3.5</v>
      </c>
      <c r="I212" s="307"/>
      <c r="J212" s="157"/>
      <c r="K212" s="163"/>
      <c r="L212" s="57"/>
      <c r="M212" s="60"/>
    </row>
    <row r="213" spans="1:13" ht="22.5" x14ac:dyDescent="0.2">
      <c r="A213" s="302">
        <v>2</v>
      </c>
      <c r="B213" s="308" t="s">
        <v>2096</v>
      </c>
      <c r="C213" s="308" t="s">
        <v>2096</v>
      </c>
      <c r="D213" s="313" t="s">
        <v>2097</v>
      </c>
      <c r="E213" s="210">
        <v>32</v>
      </c>
      <c r="F213" s="214" t="s">
        <v>2098</v>
      </c>
      <c r="G213" s="966" t="s">
        <v>21</v>
      </c>
      <c r="H213" s="223">
        <v>14.9</v>
      </c>
      <c r="I213" s="307"/>
      <c r="J213" s="967" t="s">
        <v>1682</v>
      </c>
      <c r="K213" s="370" t="s">
        <v>2099</v>
      </c>
      <c r="L213" s="311">
        <v>100</v>
      </c>
      <c r="M213" s="60"/>
    </row>
    <row r="214" spans="1:13" x14ac:dyDescent="0.2">
      <c r="A214" s="302">
        <v>2</v>
      </c>
      <c r="B214" s="215"/>
      <c r="C214" s="215"/>
      <c r="D214" s="209"/>
      <c r="E214" s="210"/>
      <c r="F214" s="210"/>
      <c r="G214" s="312" t="s">
        <v>247</v>
      </c>
      <c r="H214" s="220">
        <f>SUM(H213)</f>
        <v>14.9</v>
      </c>
      <c r="I214" s="307"/>
      <c r="J214" s="157"/>
      <c r="K214" s="163"/>
      <c r="L214" s="57"/>
      <c r="M214" s="60"/>
    </row>
    <row r="215" spans="1:13" ht="22.5" x14ac:dyDescent="0.2">
      <c r="A215" s="214">
        <v>2</v>
      </c>
      <c r="B215" s="314"/>
      <c r="C215" s="314"/>
      <c r="D215" s="315" t="s">
        <v>353</v>
      </c>
      <c r="E215" s="316"/>
      <c r="F215" s="317"/>
      <c r="G215" s="316"/>
      <c r="H215" s="318"/>
      <c r="I215" s="307"/>
      <c r="J215" s="157"/>
      <c r="K215" s="163"/>
      <c r="L215" s="57"/>
      <c r="M215" s="60"/>
    </row>
    <row r="216" spans="1:13" ht="24.6" customHeight="1" x14ac:dyDescent="0.2">
      <c r="A216" s="214">
        <v>2</v>
      </c>
      <c r="B216" s="308" t="s">
        <v>355</v>
      </c>
      <c r="C216" s="308" t="s">
        <v>355</v>
      </c>
      <c r="D216" s="313" t="s">
        <v>356</v>
      </c>
      <c r="E216" s="310"/>
      <c r="F216" s="210"/>
      <c r="G216" s="219"/>
      <c r="H216" s="207"/>
      <c r="I216" s="307"/>
      <c r="J216" s="157"/>
      <c r="K216" s="163"/>
      <c r="L216" s="57"/>
      <c r="M216" s="60"/>
    </row>
    <row r="217" spans="1:13" x14ac:dyDescent="0.2">
      <c r="A217" s="214">
        <v>2</v>
      </c>
      <c r="B217" s="215"/>
      <c r="C217" s="215" t="s">
        <v>357</v>
      </c>
      <c r="D217" s="1013" t="s">
        <v>358</v>
      </c>
      <c r="E217" s="210" t="s">
        <v>62</v>
      </c>
      <c r="F217" s="311" t="s">
        <v>359</v>
      </c>
      <c r="G217" s="214" t="s">
        <v>19</v>
      </c>
      <c r="H217" s="219">
        <f>222+68-200+200</f>
        <v>290</v>
      </c>
      <c r="I217" s="307" t="s">
        <v>196</v>
      </c>
      <c r="J217" s="181" t="s">
        <v>65</v>
      </c>
      <c r="K217" s="891" t="s">
        <v>360</v>
      </c>
      <c r="L217" s="45">
        <v>100</v>
      </c>
      <c r="M217" s="60" t="s">
        <v>361</v>
      </c>
    </row>
    <row r="218" spans="1:13" x14ac:dyDescent="0.2">
      <c r="A218" s="214">
        <v>2</v>
      </c>
      <c r="B218" s="215"/>
      <c r="C218" s="215"/>
      <c r="D218" s="1015"/>
      <c r="E218" s="210" t="s">
        <v>62</v>
      </c>
      <c r="F218" s="311" t="s">
        <v>359</v>
      </c>
      <c r="G218" s="214" t="s">
        <v>177</v>
      </c>
      <c r="H218" s="219">
        <f>200-200</f>
        <v>0</v>
      </c>
      <c r="I218" s="307"/>
      <c r="J218" s="157"/>
      <c r="K218" s="163"/>
      <c r="L218" s="57"/>
      <c r="M218" s="60"/>
    </row>
    <row r="219" spans="1:13" x14ac:dyDescent="0.2">
      <c r="A219" s="302">
        <v>2</v>
      </c>
      <c r="B219" s="215"/>
      <c r="C219" s="215"/>
      <c r="D219" s="225"/>
      <c r="E219" s="210"/>
      <c r="F219" s="311"/>
      <c r="G219" s="312" t="s">
        <v>247</v>
      </c>
      <c r="H219" s="220">
        <f>SUM(H217,H218)</f>
        <v>290</v>
      </c>
      <c r="I219" s="307"/>
      <c r="J219" s="157"/>
      <c r="K219" s="163"/>
      <c r="L219" s="57"/>
      <c r="M219" s="60"/>
    </row>
    <row r="220" spans="1:13" ht="22.5" x14ac:dyDescent="0.2">
      <c r="A220" s="214">
        <v>2</v>
      </c>
      <c r="B220" s="215"/>
      <c r="C220" s="215" t="s">
        <v>362</v>
      </c>
      <c r="D220" s="321" t="s">
        <v>363</v>
      </c>
      <c r="E220" s="210" t="s">
        <v>364</v>
      </c>
      <c r="F220" s="311" t="s">
        <v>365</v>
      </c>
      <c r="G220" s="214" t="s">
        <v>19</v>
      </c>
      <c r="H220" s="219">
        <v>34.9</v>
      </c>
      <c r="I220" s="307" t="s">
        <v>64</v>
      </c>
      <c r="J220" s="181" t="s">
        <v>366</v>
      </c>
      <c r="K220" s="891" t="s">
        <v>367</v>
      </c>
      <c r="L220" s="45">
        <v>100</v>
      </c>
      <c r="M220" s="60"/>
    </row>
    <row r="221" spans="1:13" x14ac:dyDescent="0.2">
      <c r="A221" s="214">
        <v>2</v>
      </c>
      <c r="B221" s="215"/>
      <c r="C221" s="215"/>
      <c r="D221" s="225"/>
      <c r="E221" s="210"/>
      <c r="F221" s="311"/>
      <c r="G221" s="312" t="s">
        <v>247</v>
      </c>
      <c r="H221" s="220">
        <f>SUM(H220)</f>
        <v>34.9</v>
      </c>
      <c r="I221" s="307"/>
      <c r="J221" s="157"/>
      <c r="K221" s="163"/>
      <c r="L221" s="57"/>
      <c r="M221" s="60"/>
    </row>
    <row r="222" spans="1:13" x14ac:dyDescent="0.2">
      <c r="A222" s="302">
        <v>2</v>
      </c>
      <c r="B222" s="215"/>
      <c r="C222" s="215" t="s">
        <v>368</v>
      </c>
      <c r="D222" s="1013" t="s">
        <v>369</v>
      </c>
      <c r="E222" s="210" t="s">
        <v>370</v>
      </c>
      <c r="F222" s="209" t="s">
        <v>371</v>
      </c>
      <c r="G222" s="214" t="s">
        <v>19</v>
      </c>
      <c r="H222" s="219"/>
      <c r="I222" s="307" t="s">
        <v>58</v>
      </c>
      <c r="J222" s="157"/>
      <c r="K222" s="163"/>
      <c r="L222" s="57"/>
      <c r="M222" s="60" t="s">
        <v>217</v>
      </c>
    </row>
    <row r="223" spans="1:13" x14ac:dyDescent="0.2">
      <c r="A223" s="214">
        <v>2</v>
      </c>
      <c r="B223" s="215"/>
      <c r="C223" s="215" t="s">
        <v>368</v>
      </c>
      <c r="D223" s="1014"/>
      <c r="E223" s="210">
        <v>10</v>
      </c>
      <c r="F223" s="209" t="s">
        <v>371</v>
      </c>
      <c r="G223" s="214" t="s">
        <v>19</v>
      </c>
      <c r="H223" s="219">
        <v>5</v>
      </c>
      <c r="I223" s="307" t="s">
        <v>58</v>
      </c>
      <c r="J223" s="163" t="s">
        <v>372</v>
      </c>
      <c r="K223" s="784" t="s">
        <v>373</v>
      </c>
      <c r="L223" s="45">
        <v>1</v>
      </c>
      <c r="M223" s="60" t="s">
        <v>217</v>
      </c>
    </row>
    <row r="224" spans="1:13" x14ac:dyDescent="0.2">
      <c r="A224" s="214">
        <v>2</v>
      </c>
      <c r="B224" s="215"/>
      <c r="C224" s="215" t="s">
        <v>368</v>
      </c>
      <c r="D224" s="1014"/>
      <c r="E224" s="210">
        <v>19</v>
      </c>
      <c r="F224" s="209" t="s">
        <v>371</v>
      </c>
      <c r="G224" s="210" t="s">
        <v>56</v>
      </c>
      <c r="H224" s="219">
        <v>48.5</v>
      </c>
      <c r="I224" s="307" t="s">
        <v>58</v>
      </c>
      <c r="J224" s="181" t="s">
        <v>374</v>
      </c>
      <c r="K224" s="784" t="s">
        <v>375</v>
      </c>
      <c r="L224" s="45">
        <v>100</v>
      </c>
      <c r="M224" s="60" t="s">
        <v>217</v>
      </c>
    </row>
    <row r="225" spans="1:13" x14ac:dyDescent="0.2">
      <c r="A225" s="214">
        <v>2</v>
      </c>
      <c r="B225" s="215"/>
      <c r="C225" s="215" t="s">
        <v>368</v>
      </c>
      <c r="D225" s="1015"/>
      <c r="E225" s="210">
        <v>19</v>
      </c>
      <c r="F225" s="209" t="s">
        <v>371</v>
      </c>
      <c r="G225" s="214" t="s">
        <v>59</v>
      </c>
      <c r="H225" s="219"/>
      <c r="I225" s="307"/>
      <c r="J225" s="157"/>
      <c r="K225" s="163"/>
      <c r="L225" s="57"/>
      <c r="M225" s="60"/>
    </row>
    <row r="226" spans="1:13" x14ac:dyDescent="0.2">
      <c r="A226" s="214">
        <v>2</v>
      </c>
      <c r="B226" s="215"/>
      <c r="C226" s="215"/>
      <c r="D226" s="371"/>
      <c r="E226" s="210"/>
      <c r="F226" s="209"/>
      <c r="G226" s="312" t="s">
        <v>247</v>
      </c>
      <c r="H226" s="220">
        <f>SUM(H222:H225)</f>
        <v>53.5</v>
      </c>
      <c r="I226" s="307"/>
      <c r="J226" s="157"/>
      <c r="K226" s="163"/>
      <c r="L226" s="57"/>
      <c r="M226" s="60"/>
    </row>
    <row r="227" spans="1:13" x14ac:dyDescent="0.2">
      <c r="A227" s="302">
        <v>2</v>
      </c>
      <c r="B227" s="215"/>
      <c r="C227" s="215" t="s">
        <v>376</v>
      </c>
      <c r="D227" s="1013" t="s">
        <v>377</v>
      </c>
      <c r="E227" s="210" t="s">
        <v>62</v>
      </c>
      <c r="F227" s="209" t="s">
        <v>378</v>
      </c>
      <c r="G227" s="214" t="s">
        <v>176</v>
      </c>
      <c r="H227" s="219">
        <v>395.7</v>
      </c>
      <c r="I227" s="307" t="s">
        <v>181</v>
      </c>
      <c r="J227" s="181" t="s">
        <v>379</v>
      </c>
      <c r="K227" s="784" t="s">
        <v>380</v>
      </c>
      <c r="L227" s="45">
        <v>90</v>
      </c>
      <c r="M227" s="60" t="s">
        <v>190</v>
      </c>
    </row>
    <row r="228" spans="1:13" x14ac:dyDescent="0.2">
      <c r="A228" s="214">
        <v>2</v>
      </c>
      <c r="B228" s="215"/>
      <c r="C228" s="215" t="s">
        <v>376</v>
      </c>
      <c r="D228" s="1014"/>
      <c r="E228" s="210" t="s">
        <v>62</v>
      </c>
      <c r="F228" s="209" t="s">
        <v>378</v>
      </c>
      <c r="G228" s="214" t="s">
        <v>56</v>
      </c>
      <c r="H228" s="219">
        <v>672.1</v>
      </c>
      <c r="I228" s="307" t="s">
        <v>181</v>
      </c>
      <c r="J228" s="157"/>
      <c r="K228" s="163"/>
      <c r="L228" s="57"/>
      <c r="M228" s="60" t="s">
        <v>190</v>
      </c>
    </row>
    <row r="229" spans="1:13" x14ac:dyDescent="0.2">
      <c r="A229" s="214">
        <v>2</v>
      </c>
      <c r="B229" s="215"/>
      <c r="C229" s="215" t="s">
        <v>376</v>
      </c>
      <c r="D229" s="1015"/>
      <c r="E229" s="210" t="s">
        <v>62</v>
      </c>
      <c r="F229" s="209" t="s">
        <v>378</v>
      </c>
      <c r="G229" s="214" t="s">
        <v>19</v>
      </c>
      <c r="H229" s="223"/>
      <c r="I229" s="307" t="s">
        <v>181</v>
      </c>
      <c r="J229" s="157"/>
      <c r="K229" s="163"/>
      <c r="L229" s="57"/>
      <c r="M229" s="60" t="s">
        <v>190</v>
      </c>
    </row>
    <row r="230" spans="1:13" x14ac:dyDescent="0.2">
      <c r="A230" s="214">
        <v>2</v>
      </c>
      <c r="B230" s="215"/>
      <c r="C230" s="215"/>
      <c r="D230" s="302"/>
      <c r="E230" s="210"/>
      <c r="F230" s="209"/>
      <c r="G230" s="312" t="s">
        <v>247</v>
      </c>
      <c r="H230" s="220">
        <f>SUM(H227:H229)</f>
        <v>1067.8</v>
      </c>
      <c r="I230" s="307" t="s">
        <v>181</v>
      </c>
      <c r="J230" s="157"/>
      <c r="K230" s="163"/>
      <c r="L230" s="57"/>
      <c r="M230" s="60"/>
    </row>
    <row r="231" spans="1:13" ht="33.75" x14ac:dyDescent="0.2">
      <c r="A231" s="214">
        <v>2</v>
      </c>
      <c r="B231" s="377"/>
      <c r="C231" s="377" t="s">
        <v>381</v>
      </c>
      <c r="D231" s="369" t="s">
        <v>382</v>
      </c>
      <c r="E231" s="378"/>
      <c r="F231" s="379"/>
      <c r="G231" s="214"/>
      <c r="H231" s="219"/>
      <c r="I231" s="307"/>
      <c r="J231" s="157"/>
      <c r="K231" s="163"/>
      <c r="L231" s="57"/>
      <c r="M231" s="60"/>
    </row>
    <row r="232" spans="1:13" ht="19.149999999999999" customHeight="1" x14ac:dyDescent="0.2">
      <c r="A232" s="214">
        <v>2</v>
      </c>
      <c r="B232" s="215"/>
      <c r="C232" s="215"/>
      <c r="D232" s="380" t="s">
        <v>383</v>
      </c>
      <c r="E232" s="326">
        <v>2</v>
      </c>
      <c r="F232" s="311" t="s">
        <v>384</v>
      </c>
      <c r="G232" s="381" t="s">
        <v>19</v>
      </c>
      <c r="H232" s="219">
        <v>31</v>
      </c>
      <c r="I232" s="307" t="s">
        <v>58</v>
      </c>
      <c r="J232" s="181" t="s">
        <v>385</v>
      </c>
      <c r="K232" s="784" t="s">
        <v>2031</v>
      </c>
      <c r="L232" s="155" t="s">
        <v>2032</v>
      </c>
      <c r="M232" s="60" t="s">
        <v>187</v>
      </c>
    </row>
    <row r="233" spans="1:13" x14ac:dyDescent="0.2">
      <c r="A233" s="302">
        <v>2</v>
      </c>
      <c r="B233" s="215"/>
      <c r="C233" s="215"/>
      <c r="D233" s="380" t="s">
        <v>386</v>
      </c>
      <c r="E233" s="326">
        <v>9</v>
      </c>
      <c r="F233" s="311" t="s">
        <v>384</v>
      </c>
      <c r="G233" s="234" t="s">
        <v>19</v>
      </c>
      <c r="H233" s="219">
        <v>112</v>
      </c>
      <c r="I233" s="307" t="s">
        <v>196</v>
      </c>
      <c r="J233" s="181" t="s">
        <v>387</v>
      </c>
      <c r="K233" s="784" t="s">
        <v>388</v>
      </c>
      <c r="L233" s="45">
        <v>1</v>
      </c>
      <c r="M233" s="60" t="s">
        <v>187</v>
      </c>
    </row>
    <row r="234" spans="1:13" x14ac:dyDescent="0.2">
      <c r="A234" s="214">
        <v>2</v>
      </c>
      <c r="B234" s="215"/>
      <c r="C234" s="215"/>
      <c r="D234" s="808"/>
      <c r="E234" s="210"/>
      <c r="F234" s="311"/>
      <c r="G234" s="312" t="s">
        <v>247</v>
      </c>
      <c r="H234" s="220">
        <f>SUM(H231:H233)</f>
        <v>143</v>
      </c>
      <c r="I234" s="382"/>
      <c r="J234" s="892"/>
      <c r="K234" s="893"/>
      <c r="L234" s="892"/>
      <c r="M234" s="60"/>
    </row>
    <row r="235" spans="1:13" ht="22.5" x14ac:dyDescent="0.2">
      <c r="A235" s="214">
        <v>2</v>
      </c>
      <c r="B235" s="215"/>
      <c r="C235" s="215" t="s">
        <v>389</v>
      </c>
      <c r="D235" s="1013" t="s">
        <v>390</v>
      </c>
      <c r="E235" s="210">
        <v>10</v>
      </c>
      <c r="F235" s="311" t="s">
        <v>391</v>
      </c>
      <c r="G235" s="302" t="s">
        <v>19</v>
      </c>
      <c r="H235" s="219">
        <f>183+200+180-500</f>
        <v>63</v>
      </c>
      <c r="I235" s="307" t="s">
        <v>181</v>
      </c>
      <c r="J235" s="163" t="s">
        <v>372</v>
      </c>
      <c r="K235" s="784" t="s">
        <v>392</v>
      </c>
      <c r="L235" s="45">
        <v>50</v>
      </c>
      <c r="M235" s="60" t="s">
        <v>190</v>
      </c>
    </row>
    <row r="236" spans="1:13" ht="33.75" x14ac:dyDescent="0.2">
      <c r="A236" s="302">
        <v>2</v>
      </c>
      <c r="B236" s="215"/>
      <c r="C236" s="215"/>
      <c r="D236" s="1015"/>
      <c r="E236" s="210">
        <v>10</v>
      </c>
      <c r="F236" s="311" t="s">
        <v>391</v>
      </c>
      <c r="G236" s="210" t="s">
        <v>56</v>
      </c>
      <c r="H236" s="219">
        <v>200</v>
      </c>
      <c r="I236" s="307" t="s">
        <v>181</v>
      </c>
      <c r="J236" s="163" t="s">
        <v>372</v>
      </c>
      <c r="K236" s="784" t="s">
        <v>393</v>
      </c>
      <c r="L236" s="155" t="s">
        <v>394</v>
      </c>
      <c r="M236" s="60" t="s">
        <v>190</v>
      </c>
    </row>
    <row r="237" spans="1:13" x14ac:dyDescent="0.2">
      <c r="A237" s="214">
        <v>2</v>
      </c>
      <c r="B237" s="215"/>
      <c r="C237" s="215"/>
      <c r="D237" s="809"/>
      <c r="E237" s="210"/>
      <c r="F237" s="311"/>
      <c r="G237" s="312" t="s">
        <v>247</v>
      </c>
      <c r="H237" s="220">
        <f>SUM(H235:H236)</f>
        <v>263</v>
      </c>
      <c r="I237" s="307"/>
      <c r="J237" s="157"/>
      <c r="K237" s="163"/>
      <c r="L237" s="57"/>
      <c r="M237" s="60"/>
    </row>
    <row r="238" spans="1:13" ht="22.5" x14ac:dyDescent="0.2">
      <c r="A238" s="214">
        <v>2</v>
      </c>
      <c r="B238" s="215"/>
      <c r="C238" s="215" t="s">
        <v>396</v>
      </c>
      <c r="D238" s="321" t="s">
        <v>397</v>
      </c>
      <c r="E238" s="210">
        <v>26</v>
      </c>
      <c r="F238" s="311" t="s">
        <v>398</v>
      </c>
      <c r="G238" s="214" t="s">
        <v>19</v>
      </c>
      <c r="H238" s="219"/>
      <c r="I238" s="307" t="s">
        <v>58</v>
      </c>
      <c r="J238" s="157"/>
      <c r="K238" s="163"/>
      <c r="L238" s="57"/>
      <c r="M238" s="60" t="s">
        <v>190</v>
      </c>
    </row>
    <row r="239" spans="1:13" x14ac:dyDescent="0.2">
      <c r="A239" s="302">
        <v>2</v>
      </c>
      <c r="B239" s="215"/>
      <c r="C239" s="215"/>
      <c r="D239" s="810"/>
      <c r="E239" s="210">
        <v>26</v>
      </c>
      <c r="F239" s="311" t="s">
        <v>398</v>
      </c>
      <c r="G239" s="210" t="s">
        <v>56</v>
      </c>
      <c r="H239" s="219">
        <v>28.5</v>
      </c>
      <c r="I239" s="307"/>
      <c r="J239" s="163" t="s">
        <v>399</v>
      </c>
      <c r="K239" s="784" t="s">
        <v>375</v>
      </c>
      <c r="L239" s="45">
        <v>100</v>
      </c>
      <c r="M239" s="60" t="s">
        <v>190</v>
      </c>
    </row>
    <row r="240" spans="1:13" x14ac:dyDescent="0.2">
      <c r="A240" s="214">
        <v>2</v>
      </c>
      <c r="B240" s="215"/>
      <c r="C240" s="215"/>
      <c r="D240" s="810"/>
      <c r="E240" s="210"/>
      <c r="F240" s="311"/>
      <c r="G240" s="312" t="s">
        <v>247</v>
      </c>
      <c r="H240" s="220">
        <f>SUM(H238:H239)</f>
        <v>28.5</v>
      </c>
      <c r="I240" s="307"/>
      <c r="J240" s="157"/>
      <c r="K240" s="163"/>
      <c r="L240" s="57"/>
      <c r="M240" s="60"/>
    </row>
    <row r="241" spans="1:13" ht="22.5" x14ac:dyDescent="0.2">
      <c r="A241" s="214">
        <v>2</v>
      </c>
      <c r="B241" s="215"/>
      <c r="C241" s="215" t="s">
        <v>400</v>
      </c>
      <c r="D241" s="321" t="s">
        <v>401</v>
      </c>
      <c r="E241" s="210">
        <v>25</v>
      </c>
      <c r="F241" s="311" t="s">
        <v>402</v>
      </c>
      <c r="G241" s="210" t="s">
        <v>403</v>
      </c>
      <c r="H241" s="219">
        <v>20</v>
      </c>
      <c r="I241" s="307" t="s">
        <v>196</v>
      </c>
      <c r="J241" s="370" t="s">
        <v>2047</v>
      </c>
      <c r="K241" s="370" t="s">
        <v>404</v>
      </c>
      <c r="L241" s="57">
        <v>1</v>
      </c>
      <c r="M241" s="60" t="s">
        <v>405</v>
      </c>
    </row>
    <row r="242" spans="1:13" x14ac:dyDescent="0.2">
      <c r="A242" s="302">
        <v>2</v>
      </c>
      <c r="B242" s="215"/>
      <c r="C242" s="215"/>
      <c r="D242" s="225"/>
      <c r="E242" s="210"/>
      <c r="F242" s="311"/>
      <c r="G242" s="312" t="s">
        <v>247</v>
      </c>
      <c r="H242" s="220">
        <f>SUM(H241)</f>
        <v>20</v>
      </c>
      <c r="I242" s="307"/>
      <c r="J242" s="157"/>
      <c r="K242" s="163"/>
      <c r="L242" s="57"/>
      <c r="M242" s="60"/>
    </row>
    <row r="243" spans="1:13" ht="33.75" x14ac:dyDescent="0.2">
      <c r="A243" s="214">
        <v>2</v>
      </c>
      <c r="B243" s="314"/>
      <c r="C243" s="314"/>
      <c r="D243" s="315" t="s">
        <v>406</v>
      </c>
      <c r="E243" s="316"/>
      <c r="F243" s="317"/>
      <c r="G243" s="316"/>
      <c r="H243" s="318"/>
      <c r="I243" s="307"/>
      <c r="J243" s="157"/>
      <c r="K243" s="163"/>
      <c r="L243" s="57"/>
      <c r="M243" s="60"/>
    </row>
    <row r="244" spans="1:13" ht="33.75" x14ac:dyDescent="0.2">
      <c r="A244" s="214">
        <v>2</v>
      </c>
      <c r="B244" s="308" t="s">
        <v>407</v>
      </c>
      <c r="C244" s="308" t="s">
        <v>407</v>
      </c>
      <c r="D244" s="313" t="s">
        <v>408</v>
      </c>
      <c r="E244" s="310"/>
      <c r="F244" s="210"/>
      <c r="G244" s="383"/>
      <c r="H244" s="320">
        <f>H247+H249</f>
        <v>30</v>
      </c>
      <c r="I244" s="307"/>
      <c r="J244" s="157"/>
      <c r="K244" s="163"/>
      <c r="L244" s="57"/>
      <c r="M244" s="60"/>
    </row>
    <row r="245" spans="1:13" ht="29.25" customHeight="1" x14ac:dyDescent="0.2">
      <c r="A245" s="214">
        <v>2</v>
      </c>
      <c r="B245" s="384"/>
      <c r="C245" s="384" t="s">
        <v>409</v>
      </c>
      <c r="D245" s="385" t="s">
        <v>410</v>
      </c>
      <c r="E245" s="210">
        <v>2</v>
      </c>
      <c r="F245" s="311" t="s">
        <v>411</v>
      </c>
      <c r="G245" s="214" t="s">
        <v>19</v>
      </c>
      <c r="H245" s="219">
        <f>15-10</f>
        <v>5</v>
      </c>
      <c r="I245" s="311" t="s">
        <v>58</v>
      </c>
      <c r="J245" s="163" t="s">
        <v>412</v>
      </c>
      <c r="K245" s="163" t="s">
        <v>413</v>
      </c>
      <c r="L245" s="57">
        <v>1</v>
      </c>
      <c r="M245" s="60" t="s">
        <v>67</v>
      </c>
    </row>
    <row r="246" spans="1:13" ht="29.25" customHeight="1" x14ac:dyDescent="0.2">
      <c r="A246" s="214">
        <v>2</v>
      </c>
      <c r="B246" s="384"/>
      <c r="C246" s="384"/>
      <c r="D246" s="385"/>
      <c r="E246" s="210">
        <v>23</v>
      </c>
      <c r="F246" s="311" t="s">
        <v>2100</v>
      </c>
      <c r="G246" s="214" t="s">
        <v>19</v>
      </c>
      <c r="H246" s="219">
        <v>10</v>
      </c>
      <c r="I246" s="311"/>
      <c r="J246" s="370" t="s">
        <v>485</v>
      </c>
      <c r="K246" s="370" t="s">
        <v>2066</v>
      </c>
      <c r="L246" s="311">
        <v>1</v>
      </c>
      <c r="M246" s="163" t="s">
        <v>67</v>
      </c>
    </row>
    <row r="247" spans="1:13" x14ac:dyDescent="0.2">
      <c r="A247" s="214">
        <v>2</v>
      </c>
      <c r="B247" s="215"/>
      <c r="C247" s="384" t="s">
        <v>409</v>
      </c>
      <c r="D247" s="209"/>
      <c r="E247" s="210"/>
      <c r="F247" s="311"/>
      <c r="G247" s="312" t="s">
        <v>247</v>
      </c>
      <c r="H247" s="220">
        <f>SUM(H245:H246)</f>
        <v>15</v>
      </c>
      <c r="I247" s="307"/>
      <c r="J247" s="157"/>
      <c r="K247" s="163"/>
      <c r="L247" s="57"/>
      <c r="M247" s="60"/>
    </row>
    <row r="248" spans="1:13" ht="22.5" x14ac:dyDescent="0.2">
      <c r="A248" s="302">
        <v>2</v>
      </c>
      <c r="B248" s="215"/>
      <c r="C248" s="215" t="s">
        <v>414</v>
      </c>
      <c r="D248" s="209" t="s">
        <v>415</v>
      </c>
      <c r="E248" s="210">
        <v>38</v>
      </c>
      <c r="F248" s="210" t="s">
        <v>416</v>
      </c>
      <c r="G248" s="214" t="s">
        <v>19</v>
      </c>
      <c r="H248" s="219">
        <v>15</v>
      </c>
      <c r="I248" s="307" t="s">
        <v>64</v>
      </c>
      <c r="J248" s="872" t="s">
        <v>417</v>
      </c>
      <c r="K248" s="873" t="s">
        <v>418</v>
      </c>
      <c r="L248" s="57">
        <v>8</v>
      </c>
      <c r="M248" s="60"/>
    </row>
    <row r="249" spans="1:13" x14ac:dyDescent="0.2">
      <c r="A249" s="214">
        <v>2</v>
      </c>
      <c r="B249" s="215"/>
      <c r="C249" s="215" t="s">
        <v>414</v>
      </c>
      <c r="D249" s="209"/>
      <c r="E249" s="210">
        <v>38</v>
      </c>
      <c r="F249" s="210" t="s">
        <v>416</v>
      </c>
      <c r="G249" s="312" t="s">
        <v>247</v>
      </c>
      <c r="H249" s="220">
        <f>SUM(H248)</f>
        <v>15</v>
      </c>
      <c r="I249" s="307"/>
      <c r="J249" s="157"/>
      <c r="K249" s="163"/>
      <c r="L249" s="57"/>
      <c r="M249" s="60"/>
    </row>
    <row r="250" spans="1:13" ht="33.75" x14ac:dyDescent="0.2">
      <c r="A250" s="214">
        <v>2</v>
      </c>
      <c r="B250" s="308" t="s">
        <v>419</v>
      </c>
      <c r="C250" s="308" t="s">
        <v>419</v>
      </c>
      <c r="D250" s="313" t="s">
        <v>420</v>
      </c>
      <c r="E250" s="310"/>
      <c r="F250" s="210"/>
      <c r="G250" s="383"/>
      <c r="H250" s="320"/>
      <c r="I250" s="307"/>
      <c r="J250" s="157"/>
      <c r="K250" s="163"/>
      <c r="L250" s="57"/>
      <c r="M250" s="60"/>
    </row>
    <row r="251" spans="1:13" ht="22.5" x14ac:dyDescent="0.2">
      <c r="A251" s="214">
        <v>2</v>
      </c>
      <c r="B251" s="215"/>
      <c r="C251" s="215" t="s">
        <v>421</v>
      </c>
      <c r="D251" s="321" t="s">
        <v>422</v>
      </c>
      <c r="E251" s="210">
        <v>2</v>
      </c>
      <c r="F251" s="209" t="s">
        <v>423</v>
      </c>
      <c r="G251" s="386" t="s">
        <v>19</v>
      </c>
      <c r="H251" s="386">
        <f>SUM(H254,H255,H256,H257,H258)</f>
        <v>196.1</v>
      </c>
      <c r="I251" s="311"/>
      <c r="J251" s="157"/>
      <c r="K251" s="163"/>
      <c r="L251" s="57"/>
      <c r="M251" s="60"/>
    </row>
    <row r="252" spans="1:13" x14ac:dyDescent="0.2">
      <c r="A252" s="214">
        <v>2</v>
      </c>
      <c r="B252" s="215"/>
      <c r="C252" s="215"/>
      <c r="D252" s="225"/>
      <c r="E252" s="210">
        <v>2</v>
      </c>
      <c r="F252" s="209" t="s">
        <v>423</v>
      </c>
      <c r="G252" s="386" t="s">
        <v>424</v>
      </c>
      <c r="H252" s="386"/>
      <c r="I252" s="311"/>
      <c r="J252" s="157"/>
      <c r="K252" s="163"/>
      <c r="L252" s="57"/>
      <c r="M252" s="60"/>
    </row>
    <row r="253" spans="1:13" x14ac:dyDescent="0.2">
      <c r="A253" s="302">
        <v>2</v>
      </c>
      <c r="B253" s="215"/>
      <c r="C253" s="215"/>
      <c r="D253" s="209"/>
      <c r="E253" s="210"/>
      <c r="F253" s="209" t="s">
        <v>423</v>
      </c>
      <c r="G253" s="312" t="s">
        <v>247</v>
      </c>
      <c r="H253" s="220">
        <f>SUM(H251:H252)</f>
        <v>196.1</v>
      </c>
      <c r="I253" s="311"/>
      <c r="J253" s="157"/>
      <c r="K253" s="163"/>
      <c r="L253" s="57"/>
      <c r="M253" s="60"/>
    </row>
    <row r="254" spans="1:13" ht="22.5" x14ac:dyDescent="0.2">
      <c r="A254" s="214">
        <v>2</v>
      </c>
      <c r="B254" s="215"/>
      <c r="C254" s="215" t="s">
        <v>425</v>
      </c>
      <c r="D254" s="387" t="s">
        <v>426</v>
      </c>
      <c r="E254" s="210">
        <v>2</v>
      </c>
      <c r="F254" s="209" t="s">
        <v>423</v>
      </c>
      <c r="G254" s="388" t="s">
        <v>19</v>
      </c>
      <c r="H254" s="389">
        <v>15</v>
      </c>
      <c r="I254" s="311" t="s">
        <v>58</v>
      </c>
      <c r="J254" s="163" t="s">
        <v>427</v>
      </c>
      <c r="K254" s="181" t="s">
        <v>428</v>
      </c>
      <c r="L254" s="57">
        <v>1</v>
      </c>
      <c r="M254" s="60"/>
    </row>
    <row r="255" spans="1:13" ht="33.75" x14ac:dyDescent="0.2">
      <c r="A255" s="214">
        <v>2</v>
      </c>
      <c r="B255" s="215"/>
      <c r="C255" s="215" t="s">
        <v>429</v>
      </c>
      <c r="D255" s="390" t="s">
        <v>430</v>
      </c>
      <c r="E255" s="210">
        <v>2</v>
      </c>
      <c r="F255" s="209" t="s">
        <v>423</v>
      </c>
      <c r="G255" s="388" t="s">
        <v>19</v>
      </c>
      <c r="H255" s="389">
        <f>97-17-31.9</f>
        <v>48.1</v>
      </c>
      <c r="I255" s="311" t="s">
        <v>181</v>
      </c>
      <c r="J255" s="51" t="s">
        <v>431</v>
      </c>
      <c r="K255" s="181" t="s">
        <v>432</v>
      </c>
      <c r="L255" s="57">
        <v>70</v>
      </c>
      <c r="M255" s="60" t="s">
        <v>190</v>
      </c>
    </row>
    <row r="256" spans="1:13" ht="22.5" x14ac:dyDescent="0.2">
      <c r="A256" s="214">
        <v>2</v>
      </c>
      <c r="B256" s="215"/>
      <c r="C256" s="215" t="s">
        <v>433</v>
      </c>
      <c r="D256" s="390" t="s">
        <v>434</v>
      </c>
      <c r="E256" s="210">
        <v>2</v>
      </c>
      <c r="F256" s="209" t="s">
        <v>423</v>
      </c>
      <c r="G256" s="388" t="s">
        <v>19</v>
      </c>
      <c r="H256" s="389">
        <f>100-60</f>
        <v>40</v>
      </c>
      <c r="I256" s="311" t="s">
        <v>196</v>
      </c>
      <c r="J256" s="51" t="s">
        <v>431</v>
      </c>
      <c r="K256" s="181" t="s">
        <v>432</v>
      </c>
      <c r="L256" s="57">
        <v>50</v>
      </c>
      <c r="M256" s="60" t="s">
        <v>183</v>
      </c>
    </row>
    <row r="257" spans="1:13" ht="22.5" x14ac:dyDescent="0.2">
      <c r="A257" s="302">
        <v>2</v>
      </c>
      <c r="B257" s="215"/>
      <c r="C257" s="215" t="s">
        <v>435</v>
      </c>
      <c r="D257" s="387" t="s">
        <v>436</v>
      </c>
      <c r="E257" s="210">
        <v>2</v>
      </c>
      <c r="F257" s="209" t="s">
        <v>423</v>
      </c>
      <c r="G257" s="388" t="s">
        <v>19</v>
      </c>
      <c r="H257" s="389">
        <f>50</f>
        <v>50</v>
      </c>
      <c r="I257" s="311" t="s">
        <v>58</v>
      </c>
      <c r="J257" s="51" t="s">
        <v>427</v>
      </c>
      <c r="K257" s="181" t="s">
        <v>432</v>
      </c>
      <c r="L257" s="57"/>
      <c r="M257" s="60" t="s">
        <v>187</v>
      </c>
    </row>
    <row r="258" spans="1:13" ht="23.25" thickBot="1" x14ac:dyDescent="0.25">
      <c r="A258" s="214">
        <v>2</v>
      </c>
      <c r="B258" s="391"/>
      <c r="C258" s="391" t="s">
        <v>437</v>
      </c>
      <c r="D258" s="392" t="s">
        <v>438</v>
      </c>
      <c r="E258" s="393">
        <v>2</v>
      </c>
      <c r="F258" s="394" t="s">
        <v>423</v>
      </c>
      <c r="G258" s="395" t="s">
        <v>19</v>
      </c>
      <c r="H258" s="396">
        <f>93-50</f>
        <v>43</v>
      </c>
      <c r="I258" s="311" t="s">
        <v>58</v>
      </c>
      <c r="J258" s="51" t="s">
        <v>427</v>
      </c>
      <c r="K258" s="181" t="s">
        <v>432</v>
      </c>
      <c r="L258" s="57"/>
      <c r="M258" s="60" t="s">
        <v>67</v>
      </c>
    </row>
    <row r="259" spans="1:13" ht="22.5" x14ac:dyDescent="0.2">
      <c r="A259" s="214">
        <v>2</v>
      </c>
      <c r="B259" s="377"/>
      <c r="C259" s="377" t="s">
        <v>439</v>
      </c>
      <c r="D259" s="369" t="s">
        <v>440</v>
      </c>
      <c r="E259" s="378" t="s">
        <v>441</v>
      </c>
      <c r="F259" s="378" t="s">
        <v>442</v>
      </c>
      <c r="G259" s="386" t="s">
        <v>19</v>
      </c>
      <c r="H259" s="219">
        <f>H262+H263+H264+H265</f>
        <v>512.79999999999995</v>
      </c>
      <c r="I259" s="311"/>
      <c r="J259" s="157"/>
      <c r="K259" s="163"/>
      <c r="L259" s="57"/>
      <c r="M259" s="58"/>
    </row>
    <row r="260" spans="1:13" x14ac:dyDescent="0.2">
      <c r="A260" s="214">
        <v>2</v>
      </c>
      <c r="B260" s="215"/>
      <c r="C260" s="215"/>
      <c r="D260" s="225"/>
      <c r="E260" s="210" t="s">
        <v>441</v>
      </c>
      <c r="F260" s="210" t="s">
        <v>442</v>
      </c>
      <c r="G260" s="386" t="s">
        <v>424</v>
      </c>
      <c r="H260" s="362"/>
      <c r="I260" s="311"/>
      <c r="J260" s="157"/>
      <c r="K260" s="163"/>
      <c r="L260" s="57"/>
      <c r="M260" s="60"/>
    </row>
    <row r="261" spans="1:13" x14ac:dyDescent="0.2">
      <c r="A261" s="214">
        <v>2</v>
      </c>
      <c r="B261" s="215"/>
      <c r="C261" s="215" t="s">
        <v>439</v>
      </c>
      <c r="D261" s="209"/>
      <c r="E261" s="210"/>
      <c r="F261" s="210" t="s">
        <v>442</v>
      </c>
      <c r="G261" s="312" t="s">
        <v>247</v>
      </c>
      <c r="H261" s="220">
        <f>SUM(H259:H260)</f>
        <v>512.79999999999995</v>
      </c>
      <c r="I261" s="311"/>
      <c r="J261" s="157"/>
      <c r="K261" s="163"/>
      <c r="L261" s="57"/>
      <c r="M261" s="60"/>
    </row>
    <row r="262" spans="1:13" ht="35.25" customHeight="1" x14ac:dyDescent="0.2">
      <c r="A262" s="214">
        <v>2</v>
      </c>
      <c r="B262" s="215"/>
      <c r="C262" s="215" t="s">
        <v>443</v>
      </c>
      <c r="D262" s="929" t="s">
        <v>444</v>
      </c>
      <c r="E262" s="210">
        <v>36</v>
      </c>
      <c r="F262" s="210" t="s">
        <v>442</v>
      </c>
      <c r="G262" s="388" t="s">
        <v>19</v>
      </c>
      <c r="H262" s="389">
        <f>295</f>
        <v>295</v>
      </c>
      <c r="I262" s="311" t="s">
        <v>58</v>
      </c>
      <c r="J262" s="894" t="s">
        <v>445</v>
      </c>
      <c r="K262" s="163" t="s">
        <v>446</v>
      </c>
      <c r="L262" s="57">
        <v>100</v>
      </c>
      <c r="M262" s="60" t="s">
        <v>183</v>
      </c>
    </row>
    <row r="263" spans="1:13" ht="34.5" customHeight="1" x14ac:dyDescent="0.2">
      <c r="A263" s="214">
        <v>2</v>
      </c>
      <c r="B263" s="215"/>
      <c r="C263" s="215" t="s">
        <v>447</v>
      </c>
      <c r="D263" s="930" t="s">
        <v>448</v>
      </c>
      <c r="E263" s="210">
        <v>36</v>
      </c>
      <c r="F263" s="210" t="s">
        <v>442</v>
      </c>
      <c r="G263" s="388" t="s">
        <v>19</v>
      </c>
      <c r="H263" s="389">
        <v>195</v>
      </c>
      <c r="I263" s="311" t="s">
        <v>58</v>
      </c>
      <c r="J263" s="894" t="s">
        <v>445</v>
      </c>
      <c r="K263" s="163" t="s">
        <v>446</v>
      </c>
      <c r="L263" s="57">
        <v>100</v>
      </c>
      <c r="M263" s="60" t="s">
        <v>190</v>
      </c>
    </row>
    <row r="264" spans="1:13" ht="33.75" x14ac:dyDescent="0.2">
      <c r="A264" s="214">
        <v>2</v>
      </c>
      <c r="B264" s="215"/>
      <c r="C264" s="215" t="s">
        <v>449</v>
      </c>
      <c r="D264" s="397" t="s">
        <v>450</v>
      </c>
      <c r="E264" s="210">
        <v>36</v>
      </c>
      <c r="F264" s="210" t="s">
        <v>442</v>
      </c>
      <c r="G264" s="388" t="s">
        <v>19</v>
      </c>
      <c r="H264" s="389">
        <v>12.8</v>
      </c>
      <c r="I264" s="311" t="s">
        <v>58</v>
      </c>
      <c r="J264" s="894" t="s">
        <v>445</v>
      </c>
      <c r="K264" s="163" t="s">
        <v>451</v>
      </c>
      <c r="L264" s="57">
        <v>100</v>
      </c>
      <c r="M264" s="60" t="s">
        <v>222</v>
      </c>
    </row>
    <row r="265" spans="1:13" ht="22.5" x14ac:dyDescent="0.2">
      <c r="A265" s="214">
        <v>2</v>
      </c>
      <c r="B265" s="215"/>
      <c r="C265" s="215" t="s">
        <v>452</v>
      </c>
      <c r="D265" s="397" t="s">
        <v>453</v>
      </c>
      <c r="E265" s="210">
        <v>38</v>
      </c>
      <c r="F265" s="210" t="s">
        <v>442</v>
      </c>
      <c r="G265" s="388" t="s">
        <v>19</v>
      </c>
      <c r="H265" s="389">
        <f>50-40</f>
        <v>10</v>
      </c>
      <c r="I265" s="311" t="s">
        <v>196</v>
      </c>
      <c r="J265" s="894" t="s">
        <v>454</v>
      </c>
      <c r="K265" s="181" t="s">
        <v>331</v>
      </c>
      <c r="L265" s="157">
        <v>100</v>
      </c>
      <c r="M265" s="60"/>
    </row>
    <row r="266" spans="1:13" ht="33.75" x14ac:dyDescent="0.2">
      <c r="A266" s="302">
        <v>2</v>
      </c>
      <c r="B266" s="308" t="s">
        <v>455</v>
      </c>
      <c r="C266" s="308" t="s">
        <v>455</v>
      </c>
      <c r="D266" s="313" t="s">
        <v>456</v>
      </c>
      <c r="E266" s="310"/>
      <c r="F266" s="210"/>
      <c r="G266" s="383"/>
      <c r="H266" s="320">
        <f>H268+H276</f>
        <v>527.70000000000005</v>
      </c>
      <c r="I266" s="307"/>
      <c r="J266" s="157"/>
      <c r="K266" s="163"/>
      <c r="L266" s="57"/>
      <c r="M266" s="60"/>
    </row>
    <row r="267" spans="1:13" ht="45" x14ac:dyDescent="0.2">
      <c r="A267" s="214">
        <v>2</v>
      </c>
      <c r="B267" s="215"/>
      <c r="C267" s="215" t="s">
        <v>457</v>
      </c>
      <c r="D267" s="321" t="s">
        <v>458</v>
      </c>
      <c r="E267" s="210">
        <v>2</v>
      </c>
      <c r="F267" s="210" t="s">
        <v>459</v>
      </c>
      <c r="G267" s="219" t="s">
        <v>19</v>
      </c>
      <c r="H267" s="219">
        <f>SUM(H269:H274)</f>
        <v>88.7</v>
      </c>
      <c r="I267" s="307" t="s">
        <v>64</v>
      </c>
      <c r="J267" s="157"/>
      <c r="K267" s="163"/>
      <c r="L267" s="57"/>
      <c r="M267" s="60"/>
    </row>
    <row r="268" spans="1:13" x14ac:dyDescent="0.2">
      <c r="A268" s="214">
        <v>2</v>
      </c>
      <c r="B268" s="372"/>
      <c r="C268" s="372" t="s">
        <v>457</v>
      </c>
      <c r="D268" s="371"/>
      <c r="E268" s="373">
        <v>2</v>
      </c>
      <c r="F268" s="373" t="s">
        <v>459</v>
      </c>
      <c r="G268" s="398" t="s">
        <v>247</v>
      </c>
      <c r="H268" s="279">
        <f>SUM(,H267)</f>
        <v>88.7</v>
      </c>
      <c r="I268" s="307"/>
      <c r="J268" s="157"/>
      <c r="K268" s="163"/>
      <c r="L268" s="57"/>
      <c r="M268" s="62"/>
    </row>
    <row r="269" spans="1:13" ht="22.5" x14ac:dyDescent="0.2">
      <c r="A269" s="214">
        <v>2</v>
      </c>
      <c r="B269" s="374"/>
      <c r="C269" s="374" t="s">
        <v>460</v>
      </c>
      <c r="D269" s="399" t="s">
        <v>461</v>
      </c>
      <c r="E269" s="400">
        <v>2</v>
      </c>
      <c r="F269" s="400" t="s">
        <v>459</v>
      </c>
      <c r="G269" s="401" t="s">
        <v>19</v>
      </c>
      <c r="H269" s="402">
        <f>20+82+13-115+10.5</f>
        <v>10.5</v>
      </c>
      <c r="I269" s="307" t="s">
        <v>196</v>
      </c>
      <c r="J269" s="163" t="s">
        <v>412</v>
      </c>
      <c r="K269" s="163" t="s">
        <v>462</v>
      </c>
      <c r="L269" s="57">
        <v>1</v>
      </c>
      <c r="M269" s="61" t="s">
        <v>67</v>
      </c>
    </row>
    <row r="270" spans="1:13" ht="22.5" x14ac:dyDescent="0.2">
      <c r="A270" s="214">
        <v>2</v>
      </c>
      <c r="B270" s="374"/>
      <c r="C270" s="374" t="s">
        <v>463</v>
      </c>
      <c r="D270" s="399" t="s">
        <v>464</v>
      </c>
      <c r="E270" s="400" t="s">
        <v>465</v>
      </c>
      <c r="F270" s="400" t="s">
        <v>459</v>
      </c>
      <c r="G270" s="401" t="s">
        <v>19</v>
      </c>
      <c r="H270" s="402">
        <v>20</v>
      </c>
      <c r="I270" s="307" t="s">
        <v>58</v>
      </c>
      <c r="J270" s="163" t="s">
        <v>466</v>
      </c>
      <c r="K270" s="163" t="s">
        <v>467</v>
      </c>
      <c r="L270" s="57">
        <v>1</v>
      </c>
      <c r="M270" s="61" t="s">
        <v>190</v>
      </c>
    </row>
    <row r="271" spans="1:13" ht="19.899999999999999" customHeight="1" x14ac:dyDescent="0.2">
      <c r="A271" s="214">
        <v>2</v>
      </c>
      <c r="B271" s="374"/>
      <c r="C271" s="374" t="s">
        <v>468</v>
      </c>
      <c r="D271" s="1024" t="s">
        <v>469</v>
      </c>
      <c r="E271" s="400">
        <v>25</v>
      </c>
      <c r="F271" s="400" t="s">
        <v>470</v>
      </c>
      <c r="G271" s="401" t="s">
        <v>19</v>
      </c>
      <c r="H271" s="402">
        <f>100-100</f>
        <v>0</v>
      </c>
      <c r="I271" s="307" t="s">
        <v>196</v>
      </c>
      <c r="J271" s="163" t="s">
        <v>471</v>
      </c>
      <c r="K271" s="163" t="s">
        <v>467</v>
      </c>
      <c r="L271" s="57">
        <v>1</v>
      </c>
      <c r="M271" s="61" t="s">
        <v>223</v>
      </c>
    </row>
    <row r="272" spans="1:13" ht="19.899999999999999" customHeight="1" x14ac:dyDescent="0.2">
      <c r="A272" s="214">
        <v>2</v>
      </c>
      <c r="B272" s="374"/>
      <c r="C272" s="374" t="s">
        <v>468</v>
      </c>
      <c r="D272" s="1025"/>
      <c r="E272" s="400">
        <v>9</v>
      </c>
      <c r="F272" s="400" t="s">
        <v>474</v>
      </c>
      <c r="G272" s="401" t="s">
        <v>19</v>
      </c>
      <c r="H272" s="402">
        <v>30</v>
      </c>
      <c r="I272" s="307"/>
      <c r="J272" s="163" t="s">
        <v>2086</v>
      </c>
      <c r="K272" s="163" t="s">
        <v>2087</v>
      </c>
      <c r="L272" s="57">
        <v>1</v>
      </c>
      <c r="M272" s="61" t="s">
        <v>223</v>
      </c>
    </row>
    <row r="273" spans="1:13" ht="22.5" x14ac:dyDescent="0.2">
      <c r="A273" s="214">
        <v>2</v>
      </c>
      <c r="B273" s="374"/>
      <c r="C273" s="374" t="s">
        <v>472</v>
      </c>
      <c r="D273" s="403" t="s">
        <v>473</v>
      </c>
      <c r="E273" s="400">
        <v>2</v>
      </c>
      <c r="F273" s="400" t="s">
        <v>474</v>
      </c>
      <c r="G273" s="401" t="s">
        <v>19</v>
      </c>
      <c r="H273" s="402">
        <v>18.2</v>
      </c>
      <c r="I273" s="307" t="s">
        <v>196</v>
      </c>
      <c r="J273" s="163" t="s">
        <v>385</v>
      </c>
      <c r="K273" s="163" t="s">
        <v>475</v>
      </c>
      <c r="L273" s="57">
        <v>2</v>
      </c>
      <c r="M273" s="61" t="s">
        <v>183</v>
      </c>
    </row>
    <row r="274" spans="1:13" ht="33.75" x14ac:dyDescent="0.2">
      <c r="A274" s="214">
        <v>2</v>
      </c>
      <c r="B274" s="375"/>
      <c r="C274" s="375" t="s">
        <v>476</v>
      </c>
      <c r="D274" s="399" t="s">
        <v>477</v>
      </c>
      <c r="E274" s="404">
        <v>2</v>
      </c>
      <c r="F274" s="400" t="s">
        <v>474</v>
      </c>
      <c r="G274" s="405" t="s">
        <v>19</v>
      </c>
      <c r="H274" s="402">
        <f>40-30</f>
        <v>10</v>
      </c>
      <c r="I274" s="307" t="s">
        <v>196</v>
      </c>
      <c r="J274" s="163" t="s">
        <v>478</v>
      </c>
      <c r="K274" s="163" t="s">
        <v>479</v>
      </c>
      <c r="L274" s="57">
        <v>2</v>
      </c>
      <c r="M274" s="61" t="s">
        <v>223</v>
      </c>
    </row>
    <row r="275" spans="1:13" ht="22.5" x14ac:dyDescent="0.2">
      <c r="A275" s="214">
        <v>2</v>
      </c>
      <c r="B275" s="377"/>
      <c r="C275" s="377" t="s">
        <v>480</v>
      </c>
      <c r="D275" s="369" t="s">
        <v>481</v>
      </c>
      <c r="E275" s="406"/>
      <c r="F275" s="378" t="s">
        <v>482</v>
      </c>
      <c r="G275" s="386" t="s">
        <v>19</v>
      </c>
      <c r="H275" s="219">
        <f>SUM(H277:H281)</f>
        <v>439</v>
      </c>
      <c r="I275" s="307" t="s">
        <v>181</v>
      </c>
      <c r="J275" s="157"/>
      <c r="K275" s="163"/>
      <c r="L275" s="57"/>
      <c r="M275" s="58" t="s">
        <v>67</v>
      </c>
    </row>
    <row r="276" spans="1:13" x14ac:dyDescent="0.2">
      <c r="A276" s="302">
        <v>2</v>
      </c>
      <c r="B276" s="215"/>
      <c r="C276" s="377" t="s">
        <v>480</v>
      </c>
      <c r="D276" s="225"/>
      <c r="E276" s="378"/>
      <c r="F276" s="378"/>
      <c r="G276" s="312" t="s">
        <v>247</v>
      </c>
      <c r="H276" s="220">
        <f>SUM(H275)</f>
        <v>439</v>
      </c>
      <c r="I276" s="307" t="s">
        <v>181</v>
      </c>
      <c r="J276" s="157"/>
      <c r="K276" s="163"/>
      <c r="L276" s="57"/>
      <c r="M276" s="60"/>
    </row>
    <row r="277" spans="1:13" ht="22.5" customHeight="1" x14ac:dyDescent="0.2">
      <c r="A277" s="214">
        <v>2</v>
      </c>
      <c r="B277" s="215"/>
      <c r="C277" s="377" t="s">
        <v>480</v>
      </c>
      <c r="D277" s="225"/>
      <c r="E277" s="210">
        <v>2</v>
      </c>
      <c r="F277" s="210" t="s">
        <v>482</v>
      </c>
      <c r="G277" s="214" t="s">
        <v>19</v>
      </c>
      <c r="H277" s="402">
        <v>35.4</v>
      </c>
      <c r="I277" s="307" t="s">
        <v>181</v>
      </c>
      <c r="J277" s="163" t="s">
        <v>385</v>
      </c>
      <c r="K277" s="163" t="s">
        <v>2030</v>
      </c>
      <c r="L277" s="57">
        <v>1</v>
      </c>
      <c r="M277" s="60" t="s">
        <v>67</v>
      </c>
    </row>
    <row r="278" spans="1:13" ht="12.75" customHeight="1" x14ac:dyDescent="0.2">
      <c r="A278" s="214">
        <v>2</v>
      </c>
      <c r="B278" s="215"/>
      <c r="C278" s="377" t="s">
        <v>480</v>
      </c>
      <c r="D278" s="209"/>
      <c r="E278" s="210">
        <v>36</v>
      </c>
      <c r="F278" s="210" t="s">
        <v>482</v>
      </c>
      <c r="G278" s="214" t="s">
        <v>19</v>
      </c>
      <c r="H278" s="402">
        <f>162.1+31.9</f>
        <v>194</v>
      </c>
      <c r="I278" s="307" t="s">
        <v>181</v>
      </c>
      <c r="J278" s="872" t="s">
        <v>445</v>
      </c>
      <c r="K278" s="181" t="s">
        <v>483</v>
      </c>
      <c r="L278" s="57">
        <v>16</v>
      </c>
      <c r="M278" s="60" t="s">
        <v>67</v>
      </c>
    </row>
    <row r="279" spans="1:13" ht="12.75" customHeight="1" x14ac:dyDescent="0.2">
      <c r="A279" s="214">
        <v>2</v>
      </c>
      <c r="B279" s="215"/>
      <c r="C279" s="377" t="s">
        <v>480</v>
      </c>
      <c r="D279" s="209"/>
      <c r="E279" s="210" t="s">
        <v>465</v>
      </c>
      <c r="F279" s="210" t="s">
        <v>482</v>
      </c>
      <c r="G279" s="214" t="s">
        <v>19</v>
      </c>
      <c r="H279" s="402">
        <v>20</v>
      </c>
      <c r="I279" s="307" t="s">
        <v>181</v>
      </c>
      <c r="J279" s="163" t="s">
        <v>484</v>
      </c>
      <c r="K279" s="163" t="s">
        <v>202</v>
      </c>
      <c r="L279" s="57">
        <v>100</v>
      </c>
      <c r="M279" s="60" t="s">
        <v>67</v>
      </c>
    </row>
    <row r="280" spans="1:13" ht="12.75" customHeight="1" x14ac:dyDescent="0.2">
      <c r="A280" s="214">
        <v>2</v>
      </c>
      <c r="B280" s="215"/>
      <c r="C280" s="377" t="s">
        <v>480</v>
      </c>
      <c r="D280" s="209"/>
      <c r="E280" s="210">
        <v>9</v>
      </c>
      <c r="F280" s="210" t="s">
        <v>482</v>
      </c>
      <c r="G280" s="214" t="s">
        <v>19</v>
      </c>
      <c r="H280" s="402">
        <v>186.1</v>
      </c>
      <c r="I280" s="307" t="s">
        <v>181</v>
      </c>
      <c r="J280" s="163" t="s">
        <v>186</v>
      </c>
      <c r="K280" s="163" t="s">
        <v>202</v>
      </c>
      <c r="L280" s="57">
        <v>100</v>
      </c>
      <c r="M280" s="60" t="s">
        <v>67</v>
      </c>
    </row>
    <row r="281" spans="1:13" ht="16.149999999999999" customHeight="1" x14ac:dyDescent="0.2">
      <c r="A281" s="302">
        <v>2</v>
      </c>
      <c r="B281" s="215"/>
      <c r="C281" s="377" t="s">
        <v>480</v>
      </c>
      <c r="D281" s="209"/>
      <c r="E281" s="214">
        <v>23</v>
      </c>
      <c r="F281" s="210" t="s">
        <v>2042</v>
      </c>
      <c r="G281" s="214" t="s">
        <v>19</v>
      </c>
      <c r="H281" s="402">
        <v>3.5</v>
      </c>
      <c r="I281" s="307" t="s">
        <v>181</v>
      </c>
      <c r="J281" s="872" t="s">
        <v>485</v>
      </c>
      <c r="K281" s="181" t="s">
        <v>486</v>
      </c>
      <c r="L281" s="57">
        <v>1</v>
      </c>
      <c r="M281" s="60" t="s">
        <v>67</v>
      </c>
    </row>
    <row r="282" spans="1:13" ht="12.75" hidden="1" customHeight="1" x14ac:dyDescent="0.2">
      <c r="A282" s="214">
        <v>2</v>
      </c>
      <c r="B282" s="215"/>
      <c r="C282" s="215"/>
      <c r="D282" s="209"/>
      <c r="E282" s="210"/>
      <c r="F282" s="210"/>
      <c r="G282" s="299" t="s">
        <v>247</v>
      </c>
      <c r="H282" s="299">
        <f>SUM(H276,H268,H261,H253,H249,H247,H240,H237,H234,H230,H226,H221,H219,H212,H203,H197,H192,H171,H166,H164,H242,H200,H214)</f>
        <v>5295.2999999999984</v>
      </c>
      <c r="I282" s="307"/>
      <c r="J282" s="157"/>
      <c r="K282" s="163"/>
      <c r="L282" s="57"/>
      <c r="M282" s="60"/>
    </row>
    <row r="283" spans="1:13" ht="12.75" hidden="1" customHeight="1" x14ac:dyDescent="0.2">
      <c r="A283" s="214">
        <v>2</v>
      </c>
      <c r="B283" s="215"/>
      <c r="C283" s="215"/>
      <c r="D283" s="209"/>
      <c r="E283" s="210"/>
      <c r="F283" s="210"/>
      <c r="G283" s="214" t="s">
        <v>19</v>
      </c>
      <c r="H283" s="211">
        <f>SUM(H163,H165,H245,H248,H191,H238,H231,H229,H223,H222,H220,H217,H196,H235,H241,H232,H277,H278,H279,H280,H281,H274,H273,H271,H270,H269,H265,H264,H263,H262,H258,H257,H256,H255,H254,H172,H173,H174,H175,H176,H184,H233,H272,H246)</f>
        <v>2323</v>
      </c>
      <c r="I283" s="307"/>
      <c r="J283" s="157"/>
      <c r="K283" s="163"/>
      <c r="L283" s="57"/>
      <c r="M283" s="60"/>
    </row>
    <row r="284" spans="1:13" ht="12.75" hidden="1" customHeight="1" x14ac:dyDescent="0.2">
      <c r="A284" s="214">
        <v>2</v>
      </c>
      <c r="B284" s="215"/>
      <c r="C284" s="215"/>
      <c r="D284" s="209"/>
      <c r="E284" s="210"/>
      <c r="F284" s="210"/>
      <c r="G284" s="214" t="s">
        <v>177</v>
      </c>
      <c r="H284" s="211">
        <f>H218</f>
        <v>0</v>
      </c>
      <c r="I284" s="307"/>
      <c r="J284" s="157"/>
      <c r="K284" s="163"/>
      <c r="L284" s="57"/>
      <c r="M284" s="60"/>
    </row>
    <row r="285" spans="1:13" ht="12.75" hidden="1" customHeight="1" x14ac:dyDescent="0.2">
      <c r="A285" s="214">
        <v>2</v>
      </c>
      <c r="B285" s="215"/>
      <c r="C285" s="215"/>
      <c r="D285" s="209"/>
      <c r="E285" s="210"/>
      <c r="F285" s="210"/>
      <c r="G285" s="214" t="s">
        <v>176</v>
      </c>
      <c r="H285" s="211">
        <f>H227</f>
        <v>395.7</v>
      </c>
      <c r="I285" s="307"/>
      <c r="J285" s="157"/>
      <c r="K285" s="163"/>
      <c r="L285" s="57"/>
      <c r="M285" s="60"/>
    </row>
    <row r="286" spans="1:13" ht="12.75" hidden="1" customHeight="1" x14ac:dyDescent="0.2">
      <c r="A286" s="302">
        <v>2</v>
      </c>
      <c r="B286" s="215"/>
      <c r="C286" s="215"/>
      <c r="D286" s="209"/>
      <c r="E286" s="210"/>
      <c r="F286" s="210"/>
      <c r="G286" s="210" t="s">
        <v>22</v>
      </c>
      <c r="H286" s="211"/>
      <c r="I286" s="307"/>
      <c r="J286" s="157"/>
      <c r="K286" s="163"/>
      <c r="L286" s="57"/>
      <c r="M286" s="60"/>
    </row>
    <row r="287" spans="1:13" ht="12.75" hidden="1" customHeight="1" x14ac:dyDescent="0.2">
      <c r="A287" s="214">
        <v>2</v>
      </c>
      <c r="B287" s="215"/>
      <c r="C287" s="215"/>
      <c r="D287" s="209"/>
      <c r="E287" s="210"/>
      <c r="F287" s="210"/>
      <c r="G287" s="210" t="s">
        <v>21</v>
      </c>
      <c r="H287" s="211">
        <f>H198+H199+H213</f>
        <v>514.9</v>
      </c>
      <c r="I287" s="307"/>
      <c r="J287" s="157"/>
      <c r="K287" s="163"/>
      <c r="L287" s="57"/>
      <c r="M287" s="60"/>
    </row>
    <row r="288" spans="1:13" ht="12.75" hidden="1" customHeight="1" x14ac:dyDescent="0.2">
      <c r="A288" s="214">
        <v>2</v>
      </c>
      <c r="B288" s="215"/>
      <c r="C288" s="215"/>
      <c r="D288" s="209"/>
      <c r="E288" s="210"/>
      <c r="F288" s="210"/>
      <c r="G288" s="210" t="s">
        <v>268</v>
      </c>
      <c r="H288" s="211">
        <f>SUM(H169,H202,H211)</f>
        <v>700.2</v>
      </c>
      <c r="I288" s="307"/>
      <c r="J288" s="157"/>
      <c r="K288" s="163"/>
      <c r="L288" s="57"/>
      <c r="M288" s="60"/>
    </row>
    <row r="289" spans="1:13" ht="12.75" hidden="1" customHeight="1" x14ac:dyDescent="0.2">
      <c r="A289" s="214">
        <v>2</v>
      </c>
      <c r="B289" s="215"/>
      <c r="C289" s="215"/>
      <c r="D289" s="209"/>
      <c r="E289" s="210"/>
      <c r="F289" s="210"/>
      <c r="G289" s="210" t="s">
        <v>56</v>
      </c>
      <c r="H289" s="211">
        <f>SUM(H189,H224,H228,H239,H236,H193)</f>
        <v>1226.3</v>
      </c>
      <c r="I289" s="307"/>
      <c r="J289" s="157"/>
      <c r="K289" s="163"/>
      <c r="L289" s="57"/>
      <c r="M289" s="60"/>
    </row>
    <row r="290" spans="1:13" ht="12.75" hidden="1" customHeight="1" x14ac:dyDescent="0.2">
      <c r="A290" s="214">
        <v>2</v>
      </c>
      <c r="B290" s="215"/>
      <c r="C290" s="215"/>
      <c r="D290" s="209"/>
      <c r="E290" s="210"/>
      <c r="F290" s="210"/>
      <c r="G290" s="210" t="s">
        <v>487</v>
      </c>
      <c r="H290" s="211"/>
      <c r="I290" s="307"/>
      <c r="J290" s="157"/>
      <c r="K290" s="163"/>
      <c r="L290" s="57"/>
      <c r="M290" s="60"/>
    </row>
    <row r="291" spans="1:13" ht="12.75" hidden="1" customHeight="1" x14ac:dyDescent="0.2">
      <c r="A291" s="302">
        <v>2</v>
      </c>
      <c r="B291" s="215"/>
      <c r="C291" s="215"/>
      <c r="D291" s="209"/>
      <c r="E291" s="210"/>
      <c r="F291" s="210"/>
      <c r="G291" s="210" t="s">
        <v>249</v>
      </c>
      <c r="H291" s="211">
        <f>SUM(H195)</f>
        <v>86.2</v>
      </c>
      <c r="I291" s="307"/>
      <c r="J291" s="157"/>
      <c r="K291" s="163"/>
      <c r="L291" s="57"/>
      <c r="M291" s="60"/>
    </row>
    <row r="292" spans="1:13" ht="12.75" hidden="1" customHeight="1" x14ac:dyDescent="0.2">
      <c r="A292" s="214">
        <v>2</v>
      </c>
      <c r="B292" s="215"/>
      <c r="C292" s="215"/>
      <c r="D292" s="209"/>
      <c r="E292" s="210"/>
      <c r="F292" s="210"/>
      <c r="G292" s="210" t="s">
        <v>59</v>
      </c>
      <c r="H292" s="211">
        <f>SUM(H190,H194,H225)</f>
        <v>49</v>
      </c>
      <c r="I292" s="307"/>
      <c r="J292" s="157"/>
      <c r="K292" s="163"/>
      <c r="L292" s="57"/>
      <c r="M292" s="60"/>
    </row>
    <row r="293" spans="1:13" ht="12.75" hidden="1" customHeight="1" x14ac:dyDescent="0.2">
      <c r="A293" s="214">
        <v>2</v>
      </c>
      <c r="B293" s="215"/>
      <c r="C293" s="215"/>
      <c r="D293" s="209"/>
      <c r="E293" s="210"/>
      <c r="F293" s="210"/>
      <c r="G293" s="210" t="s">
        <v>424</v>
      </c>
      <c r="H293" s="211"/>
      <c r="I293" s="307"/>
      <c r="J293" s="157"/>
      <c r="K293" s="163"/>
      <c r="L293" s="57"/>
      <c r="M293" s="60"/>
    </row>
    <row r="294" spans="1:13" ht="12.75" hidden="1" customHeight="1" x14ac:dyDescent="0.2">
      <c r="A294" s="214">
        <v>2</v>
      </c>
      <c r="B294" s="215"/>
      <c r="C294" s="215"/>
      <c r="D294" s="209"/>
      <c r="E294" s="210"/>
      <c r="F294" s="210"/>
      <c r="G294" s="299" t="s">
        <v>247</v>
      </c>
      <c r="H294" s="299">
        <f>SUM(H283:H293)</f>
        <v>5295.3</v>
      </c>
      <c r="I294" s="307"/>
      <c r="J294" s="157"/>
      <c r="K294" s="163"/>
      <c r="L294" s="57"/>
      <c r="M294" s="60"/>
    </row>
    <row r="295" spans="1:13" ht="12.75" hidden="1" customHeight="1" x14ac:dyDescent="0.2">
      <c r="A295" s="214">
        <v>2</v>
      </c>
      <c r="B295" s="407"/>
      <c r="C295" s="215"/>
      <c r="D295" s="209"/>
      <c r="E295" s="210"/>
      <c r="F295" s="210"/>
      <c r="G295" s="210"/>
      <c r="H295" s="211">
        <f>H282-H294</f>
        <v>0</v>
      </c>
      <c r="I295" s="307"/>
      <c r="J295" s="157"/>
      <c r="K295" s="163"/>
      <c r="L295" s="57"/>
      <c r="M295" s="60"/>
    </row>
    <row r="296" spans="1:13" ht="12.75" customHeight="1" x14ac:dyDescent="0.2">
      <c r="A296" s="934"/>
      <c r="B296" s="934"/>
      <c r="C296" s="934"/>
      <c r="D296" s="934" t="s">
        <v>2019</v>
      </c>
      <c r="E296" s="935"/>
      <c r="F296" s="934"/>
      <c r="G296" s="934"/>
      <c r="H296" s="934"/>
      <c r="I296" s="934"/>
      <c r="J296" s="934"/>
      <c r="K296" s="934"/>
      <c r="L296" s="934"/>
      <c r="M296" s="936"/>
    </row>
    <row r="297" spans="1:13" ht="22.5" x14ac:dyDescent="0.2">
      <c r="A297" s="302">
        <v>3</v>
      </c>
      <c r="B297" s="303"/>
      <c r="C297" s="303"/>
      <c r="D297" s="304" t="s">
        <v>488</v>
      </c>
      <c r="E297" s="305"/>
      <c r="F297" s="306"/>
      <c r="G297" s="305"/>
      <c r="H297" s="305"/>
      <c r="I297" s="307"/>
      <c r="J297" s="157"/>
      <c r="K297" s="163"/>
      <c r="L297" s="57"/>
      <c r="M297" s="58"/>
    </row>
    <row r="298" spans="1:13" ht="29.25" x14ac:dyDescent="0.2">
      <c r="A298" s="210">
        <v>3</v>
      </c>
      <c r="B298" s="308" t="s">
        <v>489</v>
      </c>
      <c r="C298" s="308" t="s">
        <v>489</v>
      </c>
      <c r="D298" s="313" t="s">
        <v>490</v>
      </c>
      <c r="E298" s="408"/>
      <c r="F298" s="409"/>
      <c r="G298" s="301"/>
      <c r="H298" s="412"/>
      <c r="I298" s="307"/>
      <c r="J298" s="181" t="s">
        <v>491</v>
      </c>
      <c r="K298" s="895" t="s">
        <v>492</v>
      </c>
      <c r="L298" s="57">
        <v>13</v>
      </c>
      <c r="M298" s="63"/>
    </row>
    <row r="299" spans="1:13" ht="39" x14ac:dyDescent="0.2">
      <c r="A299" s="210">
        <v>3</v>
      </c>
      <c r="B299" s="215"/>
      <c r="C299" s="215" t="s">
        <v>493</v>
      </c>
      <c r="D299" s="1010" t="s">
        <v>494</v>
      </c>
      <c r="E299" s="215" t="s">
        <v>495</v>
      </c>
      <c r="F299" s="210" t="s">
        <v>496</v>
      </c>
      <c r="G299" s="411" t="s">
        <v>497</v>
      </c>
      <c r="H299" s="412">
        <f>752.8-150+128.2</f>
        <v>731</v>
      </c>
      <c r="I299" s="307"/>
      <c r="J299" s="181" t="s">
        <v>491</v>
      </c>
      <c r="K299" s="895" t="s">
        <v>498</v>
      </c>
      <c r="L299" s="57">
        <v>1</v>
      </c>
      <c r="M299" s="63"/>
    </row>
    <row r="300" spans="1:13" ht="29.25" x14ac:dyDescent="0.2">
      <c r="A300" s="302">
        <v>3</v>
      </c>
      <c r="B300" s="215"/>
      <c r="C300" s="215"/>
      <c r="D300" s="1011"/>
      <c r="E300" s="215" t="s">
        <v>495</v>
      </c>
      <c r="F300" s="210" t="s">
        <v>496</v>
      </c>
      <c r="G300" s="411" t="s">
        <v>21</v>
      </c>
      <c r="H300" s="412">
        <v>30</v>
      </c>
      <c r="I300" s="307"/>
      <c r="J300" s="181" t="s">
        <v>491</v>
      </c>
      <c r="K300" s="895" t="s">
        <v>499</v>
      </c>
      <c r="L300" s="57">
        <v>5</v>
      </c>
      <c r="M300" s="63"/>
    </row>
    <row r="301" spans="1:13" ht="78" x14ac:dyDescent="0.2">
      <c r="A301" s="210">
        <v>3</v>
      </c>
      <c r="B301" s="215"/>
      <c r="C301" s="215"/>
      <c r="D301" s="1011"/>
      <c r="E301" s="215" t="s">
        <v>495</v>
      </c>
      <c r="F301" s="210" t="s">
        <v>496</v>
      </c>
      <c r="G301" s="411" t="s">
        <v>500</v>
      </c>
      <c r="H301" s="412">
        <v>104.3</v>
      </c>
      <c r="I301" s="307"/>
      <c r="J301" s="181" t="s">
        <v>491</v>
      </c>
      <c r="K301" s="973" t="s">
        <v>2141</v>
      </c>
      <c r="L301" s="214" t="s">
        <v>2142</v>
      </c>
      <c r="M301" s="63"/>
    </row>
    <row r="302" spans="1:13" ht="19.5" x14ac:dyDescent="0.2">
      <c r="A302" s="210">
        <v>3</v>
      </c>
      <c r="B302" s="215"/>
      <c r="C302" s="215"/>
      <c r="D302" s="1012"/>
      <c r="E302" s="215" t="s">
        <v>519</v>
      </c>
      <c r="F302" s="210" t="s">
        <v>2048</v>
      </c>
      <c r="G302" s="411" t="s">
        <v>497</v>
      </c>
      <c r="H302" s="412">
        <f>150-128.2</f>
        <v>21.800000000000011</v>
      </c>
      <c r="I302" s="307"/>
      <c r="J302" s="974" t="s">
        <v>2144</v>
      </c>
      <c r="K302" s="973" t="s">
        <v>2145</v>
      </c>
      <c r="L302" s="311">
        <v>1</v>
      </c>
      <c r="M302" s="64"/>
    </row>
    <row r="303" spans="1:13" ht="39" x14ac:dyDescent="0.2">
      <c r="A303" s="210">
        <v>3</v>
      </c>
      <c r="B303" s="215"/>
      <c r="C303" s="215"/>
      <c r="D303" s="217"/>
      <c r="E303" s="215" t="s">
        <v>495</v>
      </c>
      <c r="F303" s="210" t="s">
        <v>496</v>
      </c>
      <c r="G303" s="411" t="s">
        <v>56</v>
      </c>
      <c r="H303" s="412">
        <v>46</v>
      </c>
      <c r="I303" s="307"/>
      <c r="J303" s="949" t="s">
        <v>2135</v>
      </c>
      <c r="K303" s="973" t="s">
        <v>2143</v>
      </c>
      <c r="L303" s="311">
        <v>2</v>
      </c>
      <c r="M303" s="64"/>
    </row>
    <row r="304" spans="1:13" x14ac:dyDescent="0.2">
      <c r="A304" s="210">
        <v>3</v>
      </c>
      <c r="B304" s="215"/>
      <c r="C304" s="215"/>
      <c r="D304" s="414"/>
      <c r="E304" s="215"/>
      <c r="F304" s="210" t="s">
        <v>496</v>
      </c>
      <c r="G304" s="312" t="s">
        <v>247</v>
      </c>
      <c r="H304" s="220">
        <f>SUM(H299:H303)</f>
        <v>933.09999999999991</v>
      </c>
      <c r="I304" s="307"/>
      <c r="J304" s="260"/>
      <c r="K304" s="598"/>
      <c r="L304" s="202"/>
      <c r="M304" s="183"/>
    </row>
    <row r="305" spans="1:13" ht="33.75" x14ac:dyDescent="0.2">
      <c r="A305" s="302">
        <v>3</v>
      </c>
      <c r="B305" s="215"/>
      <c r="C305" s="215" t="s">
        <v>501</v>
      </c>
      <c r="D305" s="209" t="s">
        <v>502</v>
      </c>
      <c r="E305" s="215" t="s">
        <v>495</v>
      </c>
      <c r="F305" s="307" t="s">
        <v>503</v>
      </c>
      <c r="G305" s="411" t="s">
        <v>19</v>
      </c>
      <c r="H305" s="412">
        <v>6</v>
      </c>
      <c r="I305" s="307" t="s">
        <v>49</v>
      </c>
      <c r="J305" s="181" t="s">
        <v>2109</v>
      </c>
      <c r="K305" s="161" t="s">
        <v>504</v>
      </c>
      <c r="L305" s="57">
        <v>60</v>
      </c>
      <c r="M305" s="63"/>
    </row>
    <row r="306" spans="1:13" x14ac:dyDescent="0.2">
      <c r="A306" s="210">
        <v>3</v>
      </c>
      <c r="B306" s="215"/>
      <c r="C306" s="215"/>
      <c r="D306" s="209"/>
      <c r="E306" s="215"/>
      <c r="F306" s="307" t="s">
        <v>503</v>
      </c>
      <c r="G306" s="312" t="s">
        <v>247</v>
      </c>
      <c r="H306" s="220">
        <f>SUM(H305)</f>
        <v>6</v>
      </c>
      <c r="I306" s="307"/>
      <c r="J306" s="157"/>
      <c r="K306" s="163"/>
      <c r="L306" s="57"/>
      <c r="M306" s="63"/>
    </row>
    <row r="307" spans="1:13" ht="33.75" x14ac:dyDescent="0.2">
      <c r="A307" s="210">
        <v>3</v>
      </c>
      <c r="B307" s="215"/>
      <c r="C307" s="215" t="s">
        <v>505</v>
      </c>
      <c r="D307" s="209" t="s">
        <v>506</v>
      </c>
      <c r="E307" s="215" t="s">
        <v>495</v>
      </c>
      <c r="F307" s="307" t="s">
        <v>507</v>
      </c>
      <c r="G307" s="411" t="s">
        <v>19</v>
      </c>
      <c r="H307" s="412">
        <v>100</v>
      </c>
      <c r="I307" s="307" t="s">
        <v>64</v>
      </c>
      <c r="J307" s="181" t="s">
        <v>2109</v>
      </c>
      <c r="K307" s="181" t="s">
        <v>508</v>
      </c>
      <c r="L307" s="57">
        <v>100</v>
      </c>
      <c r="M307" s="63"/>
    </row>
    <row r="308" spans="1:13" x14ac:dyDescent="0.2">
      <c r="A308" s="302">
        <v>3</v>
      </c>
      <c r="B308" s="215"/>
      <c r="C308" s="215"/>
      <c r="D308" s="209"/>
      <c r="E308" s="215"/>
      <c r="F308" s="307"/>
      <c r="G308" s="312" t="s">
        <v>247</v>
      </c>
      <c r="H308" s="220">
        <f>SUM(H307)</f>
        <v>100</v>
      </c>
      <c r="I308" s="307"/>
      <c r="J308" s="157"/>
      <c r="K308" s="163"/>
      <c r="L308" s="57"/>
      <c r="M308" s="63"/>
    </row>
    <row r="309" spans="1:13" ht="49.5" customHeight="1" x14ac:dyDescent="0.2">
      <c r="A309" s="210">
        <v>3</v>
      </c>
      <c r="B309" s="215"/>
      <c r="C309" s="215" t="s">
        <v>509</v>
      </c>
      <c r="D309" s="209" t="s">
        <v>510</v>
      </c>
      <c r="E309" s="215" t="s">
        <v>364</v>
      </c>
      <c r="F309" s="307" t="s">
        <v>511</v>
      </c>
      <c r="G309" s="411" t="s">
        <v>19</v>
      </c>
      <c r="H309" s="412">
        <v>12.8</v>
      </c>
      <c r="I309" s="307" t="s">
        <v>58</v>
      </c>
      <c r="J309" s="163" t="s">
        <v>366</v>
      </c>
      <c r="K309" s="163" t="s">
        <v>512</v>
      </c>
      <c r="L309" s="57">
        <v>1</v>
      </c>
      <c r="M309" s="63" t="s">
        <v>67</v>
      </c>
    </row>
    <row r="310" spans="1:13" x14ac:dyDescent="0.2">
      <c r="A310" s="210">
        <v>3</v>
      </c>
      <c r="B310" s="215"/>
      <c r="C310" s="215"/>
      <c r="D310" s="209"/>
      <c r="E310" s="215" t="s">
        <v>364</v>
      </c>
      <c r="F310" s="307" t="s">
        <v>511</v>
      </c>
      <c r="G310" s="411" t="s">
        <v>56</v>
      </c>
      <c r="H310" s="412">
        <v>307.3</v>
      </c>
      <c r="I310" s="307"/>
      <c r="J310" s="157"/>
      <c r="K310" s="163"/>
      <c r="L310" s="57"/>
      <c r="M310" s="63" t="s">
        <v>67</v>
      </c>
    </row>
    <row r="311" spans="1:13" x14ac:dyDescent="0.2">
      <c r="A311" s="302">
        <v>3</v>
      </c>
      <c r="B311" s="215"/>
      <c r="C311" s="215"/>
      <c r="D311" s="415"/>
      <c r="E311" s="215" t="s">
        <v>364</v>
      </c>
      <c r="F311" s="307" t="s">
        <v>511</v>
      </c>
      <c r="G311" s="411" t="s">
        <v>59</v>
      </c>
      <c r="H311" s="412">
        <v>39.5</v>
      </c>
      <c r="I311" s="307"/>
      <c r="J311" s="157"/>
      <c r="K311" s="163"/>
      <c r="L311" s="57"/>
      <c r="M311" s="63" t="s">
        <v>67</v>
      </c>
    </row>
    <row r="312" spans="1:13" x14ac:dyDescent="0.2">
      <c r="A312" s="210">
        <v>3</v>
      </c>
      <c r="B312" s="215"/>
      <c r="C312" s="215"/>
      <c r="D312" s="415"/>
      <c r="E312" s="215" t="s">
        <v>513</v>
      </c>
      <c r="F312" s="307" t="s">
        <v>514</v>
      </c>
      <c r="G312" s="416" t="s">
        <v>19</v>
      </c>
      <c r="H312" s="412"/>
      <c r="I312" s="307" t="s">
        <v>58</v>
      </c>
      <c r="J312" s="157"/>
      <c r="K312" s="163"/>
      <c r="L312" s="57"/>
      <c r="M312" s="63" t="s">
        <v>67</v>
      </c>
    </row>
    <row r="313" spans="1:13" x14ac:dyDescent="0.2">
      <c r="A313" s="210">
        <v>3</v>
      </c>
      <c r="B313" s="215"/>
      <c r="C313" s="215"/>
      <c r="D313" s="415"/>
      <c r="E313" s="215"/>
      <c r="F313" s="307" t="s">
        <v>511</v>
      </c>
      <c r="G313" s="312" t="s">
        <v>247</v>
      </c>
      <c r="H313" s="220">
        <f>SUM(H309:H312)</f>
        <v>359.6</v>
      </c>
      <c r="I313" s="307"/>
      <c r="J313" s="157"/>
      <c r="K313" s="163"/>
      <c r="L313" s="57"/>
      <c r="M313" s="63"/>
    </row>
    <row r="314" spans="1:13" ht="22.5" x14ac:dyDescent="0.2">
      <c r="A314" s="210">
        <v>3</v>
      </c>
      <c r="B314" s="215"/>
      <c r="C314" s="215" t="s">
        <v>2172</v>
      </c>
      <c r="D314" s="209" t="s">
        <v>2173</v>
      </c>
      <c r="E314" s="311">
        <v>18</v>
      </c>
      <c r="F314" s="210" t="s">
        <v>2174</v>
      </c>
      <c r="G314" s="411" t="s">
        <v>19</v>
      </c>
      <c r="H314" s="412">
        <v>3</v>
      </c>
      <c r="I314" s="307"/>
      <c r="J314" s="370" t="s">
        <v>526</v>
      </c>
      <c r="K314" s="991" t="s">
        <v>2175</v>
      </c>
      <c r="L314" s="214">
        <v>1</v>
      </c>
      <c r="M314" s="63"/>
    </row>
    <row r="315" spans="1:13" x14ac:dyDescent="0.2">
      <c r="A315" s="210">
        <v>3</v>
      </c>
      <c r="B315" s="215"/>
      <c r="C315" s="418"/>
      <c r="D315" s="209"/>
      <c r="E315" s="311">
        <v>18</v>
      </c>
      <c r="F315" s="210" t="s">
        <v>2174</v>
      </c>
      <c r="G315" s="411" t="s">
        <v>56</v>
      </c>
      <c r="H315" s="219"/>
      <c r="I315" s="307"/>
      <c r="J315" s="157"/>
      <c r="K315" s="163"/>
      <c r="L315" s="57"/>
      <c r="M315" s="63"/>
    </row>
    <row r="316" spans="1:13" x14ac:dyDescent="0.2">
      <c r="A316" s="210">
        <v>3</v>
      </c>
      <c r="B316" s="215"/>
      <c r="C316" s="215"/>
      <c r="D316" s="415"/>
      <c r="E316" s="215"/>
      <c r="F316" s="307"/>
      <c r="G316" s="312" t="s">
        <v>247</v>
      </c>
      <c r="H316" s="220">
        <f>SUM(H314:H315)</f>
        <v>3</v>
      </c>
      <c r="I316" s="307"/>
      <c r="J316" s="157"/>
      <c r="K316" s="163"/>
      <c r="L316" s="57"/>
      <c r="M316" s="63"/>
    </row>
    <row r="317" spans="1:13" ht="22.5" x14ac:dyDescent="0.2">
      <c r="A317" s="210">
        <v>3</v>
      </c>
      <c r="B317" s="308" t="s">
        <v>515</v>
      </c>
      <c r="C317" s="308" t="s">
        <v>515</v>
      </c>
      <c r="D317" s="313" t="s">
        <v>516</v>
      </c>
      <c r="E317" s="408"/>
      <c r="F317" s="409"/>
      <c r="G317" s="417"/>
      <c r="H317" s="412"/>
      <c r="I317" s="307"/>
      <c r="J317" s="157"/>
      <c r="K317" s="163"/>
      <c r="L317" s="57"/>
      <c r="M317" s="63"/>
    </row>
    <row r="318" spans="1:13" x14ac:dyDescent="0.2">
      <c r="A318" s="302">
        <v>3</v>
      </c>
      <c r="B318" s="418"/>
      <c r="C318" s="418" t="s">
        <v>517</v>
      </c>
      <c r="D318" s="209" t="s">
        <v>518</v>
      </c>
      <c r="E318" s="307" t="s">
        <v>519</v>
      </c>
      <c r="F318" s="210" t="s">
        <v>520</v>
      </c>
      <c r="G318" s="411" t="s">
        <v>521</v>
      </c>
      <c r="H318" s="412">
        <v>3430</v>
      </c>
      <c r="I318" s="307"/>
      <c r="J318" s="163" t="s">
        <v>2006</v>
      </c>
      <c r="K318" s="163" t="s">
        <v>2007</v>
      </c>
      <c r="L318" s="57">
        <v>1</v>
      </c>
      <c r="M318" s="63"/>
    </row>
    <row r="319" spans="1:13" x14ac:dyDescent="0.2">
      <c r="A319" s="210">
        <v>3</v>
      </c>
      <c r="B319" s="418"/>
      <c r="C319" s="418"/>
      <c r="D319" s="209"/>
      <c r="E319" s="307" t="s">
        <v>519</v>
      </c>
      <c r="F319" s="210" t="s">
        <v>520</v>
      </c>
      <c r="G319" s="411" t="s">
        <v>522</v>
      </c>
      <c r="H319" s="219">
        <v>34</v>
      </c>
      <c r="I319" s="307"/>
      <c r="J319" s="157"/>
      <c r="K319" s="163"/>
      <c r="L319" s="57"/>
      <c r="M319" s="64"/>
    </row>
    <row r="320" spans="1:13" x14ac:dyDescent="0.2">
      <c r="A320" s="210">
        <v>3</v>
      </c>
      <c r="B320" s="418"/>
      <c r="C320" s="418"/>
      <c r="D320" s="209"/>
      <c r="E320" s="307"/>
      <c r="F320" s="210" t="s">
        <v>520</v>
      </c>
      <c r="G320" s="312" t="s">
        <v>247</v>
      </c>
      <c r="H320" s="220">
        <f>SUM(H318:H319)</f>
        <v>3464</v>
      </c>
      <c r="I320" s="307"/>
      <c r="J320" s="157"/>
      <c r="K320" s="163"/>
      <c r="L320" s="57"/>
      <c r="M320" s="65"/>
    </row>
    <row r="321" spans="1:13" ht="33.75" x14ac:dyDescent="0.2">
      <c r="A321" s="302">
        <v>3</v>
      </c>
      <c r="B321" s="418"/>
      <c r="C321" s="418" t="s">
        <v>523</v>
      </c>
      <c r="D321" s="225" t="s">
        <v>524</v>
      </c>
      <c r="E321" s="307">
        <v>18</v>
      </c>
      <c r="F321" s="210" t="s">
        <v>525</v>
      </c>
      <c r="G321" s="311" t="s">
        <v>19</v>
      </c>
      <c r="H321" s="219">
        <v>7</v>
      </c>
      <c r="I321" s="307" t="s">
        <v>64</v>
      </c>
      <c r="J321" s="163" t="s">
        <v>526</v>
      </c>
      <c r="K321" s="163" t="s">
        <v>527</v>
      </c>
      <c r="L321" s="57">
        <v>100</v>
      </c>
      <c r="M321" s="65"/>
    </row>
    <row r="322" spans="1:13" x14ac:dyDescent="0.2">
      <c r="A322" s="210">
        <v>3</v>
      </c>
      <c r="B322" s="418"/>
      <c r="C322" s="418"/>
      <c r="D322" s="225"/>
      <c r="E322" s="307"/>
      <c r="F322" s="210"/>
      <c r="G322" s="312" t="s">
        <v>247</v>
      </c>
      <c r="H322" s="220">
        <f>SUM(H321)</f>
        <v>7</v>
      </c>
      <c r="I322" s="307"/>
      <c r="J322" s="157"/>
      <c r="K322" s="163"/>
      <c r="L322" s="57"/>
      <c r="M322" s="65"/>
    </row>
    <row r="323" spans="1:13" ht="33" customHeight="1" x14ac:dyDescent="0.2">
      <c r="A323" s="210">
        <v>3</v>
      </c>
      <c r="B323" s="418"/>
      <c r="C323" s="418" t="s">
        <v>528</v>
      </c>
      <c r="D323" s="209" t="s">
        <v>529</v>
      </c>
      <c r="E323" s="307">
        <v>18</v>
      </c>
      <c r="F323" s="210" t="s">
        <v>530</v>
      </c>
      <c r="G323" s="411" t="s">
        <v>21</v>
      </c>
      <c r="H323" s="412"/>
      <c r="I323" s="307"/>
      <c r="J323" s="157"/>
      <c r="K323" s="163"/>
      <c r="L323" s="57"/>
      <c r="M323" s="65"/>
    </row>
    <row r="324" spans="1:13" ht="22.5" x14ac:dyDescent="0.2">
      <c r="A324" s="302">
        <v>3</v>
      </c>
      <c r="B324" s="418"/>
      <c r="C324" s="418"/>
      <c r="D324" s="209"/>
      <c r="E324" s="307">
        <v>18</v>
      </c>
      <c r="F324" s="210" t="s">
        <v>530</v>
      </c>
      <c r="G324" s="411" t="s">
        <v>19</v>
      </c>
      <c r="H324" s="412">
        <v>20</v>
      </c>
      <c r="I324" s="307" t="s">
        <v>64</v>
      </c>
      <c r="J324" s="181" t="s">
        <v>531</v>
      </c>
      <c r="K324" s="181" t="s">
        <v>532</v>
      </c>
      <c r="L324" s="57">
        <v>146</v>
      </c>
      <c r="M324" s="65"/>
    </row>
    <row r="325" spans="1:13" x14ac:dyDescent="0.2">
      <c r="A325" s="210">
        <v>3</v>
      </c>
      <c r="B325" s="418"/>
      <c r="C325" s="418"/>
      <c r="D325" s="419"/>
      <c r="E325" s="227"/>
      <c r="F325" s="210" t="s">
        <v>530</v>
      </c>
      <c r="G325" s="312" t="s">
        <v>247</v>
      </c>
      <c r="H325" s="220">
        <f>SUM(H323:H324)</f>
        <v>20</v>
      </c>
      <c r="I325" s="307"/>
      <c r="J325" s="157"/>
      <c r="K325" s="896"/>
      <c r="L325" s="897"/>
      <c r="M325" s="175"/>
    </row>
    <row r="326" spans="1:13" ht="22.5" x14ac:dyDescent="0.2">
      <c r="A326" s="210">
        <v>3</v>
      </c>
      <c r="B326" s="308" t="s">
        <v>533</v>
      </c>
      <c r="C326" s="308" t="s">
        <v>533</v>
      </c>
      <c r="D326" s="313" t="s">
        <v>534</v>
      </c>
      <c r="E326" s="408"/>
      <c r="F326" s="409"/>
      <c r="G326" s="301"/>
      <c r="H326" s="410">
        <f>SUM(H328,H330,H332,H334,H336,H338,H340,H343,H345,H347,H349,H360,H362)</f>
        <v>2914.7999999999997</v>
      </c>
      <c r="I326" s="307"/>
      <c r="J326" s="157"/>
      <c r="K326" s="163"/>
      <c r="L326" s="57"/>
      <c r="M326" s="179"/>
    </row>
    <row r="327" spans="1:13" ht="22.5" x14ac:dyDescent="0.2">
      <c r="A327" s="302">
        <v>3</v>
      </c>
      <c r="B327" s="227"/>
      <c r="C327" s="227" t="s">
        <v>535</v>
      </c>
      <c r="D327" s="209" t="s">
        <v>536</v>
      </c>
      <c r="E327" s="307">
        <v>19</v>
      </c>
      <c r="F327" s="307" t="s">
        <v>537</v>
      </c>
      <c r="G327" s="307" t="s">
        <v>19</v>
      </c>
      <c r="H327" s="219">
        <f>107.4+12</f>
        <v>119.4</v>
      </c>
      <c r="I327" s="307" t="s">
        <v>49</v>
      </c>
      <c r="J327" s="181" t="s">
        <v>538</v>
      </c>
      <c r="K327" s="181" t="s">
        <v>539</v>
      </c>
      <c r="L327" s="57">
        <v>20.2</v>
      </c>
      <c r="M327" s="180" t="s">
        <v>217</v>
      </c>
    </row>
    <row r="328" spans="1:13" x14ac:dyDescent="0.2">
      <c r="A328" s="210">
        <v>3</v>
      </c>
      <c r="B328" s="227"/>
      <c r="C328" s="227" t="s">
        <v>535</v>
      </c>
      <c r="D328" s="209"/>
      <c r="E328" s="307"/>
      <c r="F328" s="307" t="s">
        <v>540</v>
      </c>
      <c r="G328" s="312" t="s">
        <v>247</v>
      </c>
      <c r="H328" s="220">
        <f>SUM(H327)</f>
        <v>119.4</v>
      </c>
      <c r="I328" s="307"/>
      <c r="J328" s="181"/>
      <c r="K328" s="181"/>
      <c r="L328" s="57"/>
      <c r="M328" s="180">
        <f>SUM(M327)</f>
        <v>0</v>
      </c>
    </row>
    <row r="329" spans="1:13" ht="22.5" x14ac:dyDescent="0.2">
      <c r="A329" s="210">
        <v>3</v>
      </c>
      <c r="B329" s="227"/>
      <c r="C329" s="227" t="s">
        <v>541</v>
      </c>
      <c r="D329" s="209" t="s">
        <v>542</v>
      </c>
      <c r="E329" s="307">
        <v>20</v>
      </c>
      <c r="F329" s="307" t="s">
        <v>543</v>
      </c>
      <c r="G329" s="307" t="s">
        <v>19</v>
      </c>
      <c r="H329" s="219">
        <v>149.6</v>
      </c>
      <c r="I329" s="307" t="s">
        <v>49</v>
      </c>
      <c r="J329" s="181" t="s">
        <v>544</v>
      </c>
      <c r="K329" s="181" t="s">
        <v>539</v>
      </c>
      <c r="L329" s="57">
        <v>22.1</v>
      </c>
      <c r="M329" s="181" t="s">
        <v>545</v>
      </c>
    </row>
    <row r="330" spans="1:13" x14ac:dyDescent="0.2">
      <c r="A330" s="302">
        <v>3</v>
      </c>
      <c r="B330" s="227"/>
      <c r="C330" s="227" t="s">
        <v>541</v>
      </c>
      <c r="D330" s="209"/>
      <c r="E330" s="307"/>
      <c r="F330" s="307" t="s">
        <v>543</v>
      </c>
      <c r="G330" s="312" t="s">
        <v>247</v>
      </c>
      <c r="H330" s="220">
        <f>SUM(H329)</f>
        <v>149.6</v>
      </c>
      <c r="I330" s="307"/>
      <c r="J330" s="181"/>
      <c r="K330" s="181"/>
      <c r="L330" s="57"/>
      <c r="M330" s="180">
        <f>SUM(M329)</f>
        <v>0</v>
      </c>
    </row>
    <row r="331" spans="1:13" ht="22.5" x14ac:dyDescent="0.2">
      <c r="A331" s="210">
        <v>3</v>
      </c>
      <c r="B331" s="227"/>
      <c r="C331" s="227" t="s">
        <v>546</v>
      </c>
      <c r="D331" s="209" t="s">
        <v>547</v>
      </c>
      <c r="E331" s="307">
        <v>21</v>
      </c>
      <c r="F331" s="307" t="s">
        <v>548</v>
      </c>
      <c r="G331" s="307" t="s">
        <v>19</v>
      </c>
      <c r="H331" s="219">
        <v>237.5</v>
      </c>
      <c r="I331" s="307" t="s">
        <v>49</v>
      </c>
      <c r="J331" s="181" t="s">
        <v>549</v>
      </c>
      <c r="K331" s="181" t="s">
        <v>550</v>
      </c>
      <c r="L331" s="57">
        <v>2</v>
      </c>
      <c r="M331" s="181" t="s">
        <v>187</v>
      </c>
    </row>
    <row r="332" spans="1:13" x14ac:dyDescent="0.2">
      <c r="A332" s="210">
        <v>3</v>
      </c>
      <c r="B332" s="227"/>
      <c r="C332" s="227" t="s">
        <v>546</v>
      </c>
      <c r="D332" s="209"/>
      <c r="E332" s="307"/>
      <c r="F332" s="307" t="s">
        <v>548</v>
      </c>
      <c r="G332" s="312" t="s">
        <v>247</v>
      </c>
      <c r="H332" s="220">
        <f>SUM(H331)</f>
        <v>237.5</v>
      </c>
      <c r="I332" s="307"/>
      <c r="J332" s="181" t="s">
        <v>549</v>
      </c>
      <c r="K332" s="181" t="s">
        <v>539</v>
      </c>
      <c r="L332" s="57">
        <v>57.9</v>
      </c>
      <c r="M332" s="181" t="s">
        <v>187</v>
      </c>
    </row>
    <row r="333" spans="1:13" ht="22.5" x14ac:dyDescent="0.2">
      <c r="A333" s="302">
        <v>3</v>
      </c>
      <c r="B333" s="227"/>
      <c r="C333" s="227" t="s">
        <v>551</v>
      </c>
      <c r="D333" s="209" t="s">
        <v>552</v>
      </c>
      <c r="E333" s="307">
        <v>22</v>
      </c>
      <c r="F333" s="307" t="s">
        <v>553</v>
      </c>
      <c r="G333" s="307" t="s">
        <v>19</v>
      </c>
      <c r="H333" s="412">
        <v>112.3</v>
      </c>
      <c r="I333" s="307" t="s">
        <v>49</v>
      </c>
      <c r="J333" s="181" t="s">
        <v>554</v>
      </c>
      <c r="K333" s="181" t="s">
        <v>555</v>
      </c>
      <c r="L333" s="57">
        <v>17.899999999999999</v>
      </c>
      <c r="M333" s="148" t="s">
        <v>246</v>
      </c>
    </row>
    <row r="334" spans="1:13" x14ac:dyDescent="0.2">
      <c r="A334" s="210">
        <v>3</v>
      </c>
      <c r="B334" s="227"/>
      <c r="C334" s="227" t="s">
        <v>551</v>
      </c>
      <c r="D334" s="209"/>
      <c r="E334" s="307"/>
      <c r="F334" s="307" t="s">
        <v>553</v>
      </c>
      <c r="G334" s="312" t="s">
        <v>247</v>
      </c>
      <c r="H334" s="220">
        <f>SUM(H333)</f>
        <v>112.3</v>
      </c>
      <c r="I334" s="307"/>
      <c r="J334" s="181"/>
      <c r="K334" s="181"/>
      <c r="L334" s="57"/>
      <c r="M334" s="180"/>
    </row>
    <row r="335" spans="1:13" ht="22.5" x14ac:dyDescent="0.2">
      <c r="A335" s="210">
        <v>3</v>
      </c>
      <c r="B335" s="227"/>
      <c r="C335" s="227" t="s">
        <v>556</v>
      </c>
      <c r="D335" s="225" t="s">
        <v>557</v>
      </c>
      <c r="E335" s="311">
        <v>23</v>
      </c>
      <c r="F335" s="311" t="s">
        <v>558</v>
      </c>
      <c r="G335" s="307" t="s">
        <v>19</v>
      </c>
      <c r="H335" s="219">
        <v>691.8</v>
      </c>
      <c r="I335" s="307" t="s">
        <v>49</v>
      </c>
      <c r="J335" s="181" t="s">
        <v>559</v>
      </c>
      <c r="K335" s="181" t="s">
        <v>539</v>
      </c>
      <c r="L335" s="57">
        <v>93.9</v>
      </c>
      <c r="M335" s="148" t="s">
        <v>67</v>
      </c>
    </row>
    <row r="336" spans="1:13" x14ac:dyDescent="0.2">
      <c r="A336" s="302">
        <v>3</v>
      </c>
      <c r="B336" s="227"/>
      <c r="C336" s="227" t="s">
        <v>556</v>
      </c>
      <c r="D336" s="225"/>
      <c r="E336" s="311"/>
      <c r="F336" s="311" t="s">
        <v>558</v>
      </c>
      <c r="G336" s="312" t="s">
        <v>247</v>
      </c>
      <c r="H336" s="220">
        <f>SUM(H335)</f>
        <v>691.8</v>
      </c>
      <c r="I336" s="307"/>
      <c r="J336" s="181"/>
      <c r="K336" s="181"/>
      <c r="L336" s="57"/>
      <c r="M336" s="180"/>
    </row>
    <row r="337" spans="1:13" ht="22.5" x14ac:dyDescent="0.2">
      <c r="A337" s="210">
        <v>3</v>
      </c>
      <c r="B337" s="227"/>
      <c r="C337" s="227" t="s">
        <v>560</v>
      </c>
      <c r="D337" s="209" t="s">
        <v>561</v>
      </c>
      <c r="E337" s="307">
        <v>24</v>
      </c>
      <c r="F337" s="307" t="s">
        <v>562</v>
      </c>
      <c r="G337" s="307" t="s">
        <v>19</v>
      </c>
      <c r="H337" s="412">
        <v>98</v>
      </c>
      <c r="I337" s="307" t="s">
        <v>49</v>
      </c>
      <c r="J337" s="181" t="s">
        <v>563</v>
      </c>
      <c r="K337" s="181" t="s">
        <v>539</v>
      </c>
      <c r="L337" s="57">
        <v>14.2</v>
      </c>
      <c r="M337" s="148" t="s">
        <v>361</v>
      </c>
    </row>
    <row r="338" spans="1:13" x14ac:dyDescent="0.2">
      <c r="A338" s="210">
        <v>3</v>
      </c>
      <c r="B338" s="227"/>
      <c r="C338" s="227" t="s">
        <v>560</v>
      </c>
      <c r="D338" s="209"/>
      <c r="E338" s="307"/>
      <c r="F338" s="307" t="s">
        <v>562</v>
      </c>
      <c r="G338" s="312" t="s">
        <v>247</v>
      </c>
      <c r="H338" s="220">
        <f>SUM(H337)</f>
        <v>98</v>
      </c>
      <c r="I338" s="307"/>
      <c r="J338" s="181"/>
      <c r="K338" s="181"/>
      <c r="L338" s="57"/>
      <c r="M338" s="180"/>
    </row>
    <row r="339" spans="1:13" ht="22.5" x14ac:dyDescent="0.2">
      <c r="A339" s="302">
        <v>3</v>
      </c>
      <c r="B339" s="227"/>
      <c r="C339" s="227" t="s">
        <v>564</v>
      </c>
      <c r="D339" s="209" t="s">
        <v>565</v>
      </c>
      <c r="E339" s="307">
        <v>25</v>
      </c>
      <c r="F339" s="307" t="s">
        <v>566</v>
      </c>
      <c r="G339" s="307" t="s">
        <v>19</v>
      </c>
      <c r="H339" s="412">
        <v>226.3</v>
      </c>
      <c r="I339" s="307" t="s">
        <v>49</v>
      </c>
      <c r="J339" s="181" t="s">
        <v>567</v>
      </c>
      <c r="K339" s="181" t="s">
        <v>539</v>
      </c>
      <c r="L339" s="57">
        <v>34.700000000000003</v>
      </c>
      <c r="M339" s="148" t="s">
        <v>223</v>
      </c>
    </row>
    <row r="340" spans="1:13" x14ac:dyDescent="0.2">
      <c r="A340" s="210">
        <v>3</v>
      </c>
      <c r="B340" s="227"/>
      <c r="C340" s="227" t="s">
        <v>564</v>
      </c>
      <c r="D340" s="209"/>
      <c r="E340" s="307"/>
      <c r="F340" s="307" t="s">
        <v>566</v>
      </c>
      <c r="G340" s="312" t="s">
        <v>247</v>
      </c>
      <c r="H340" s="220">
        <f>SUM(H339)</f>
        <v>226.3</v>
      </c>
      <c r="I340" s="307"/>
      <c r="J340" s="181"/>
      <c r="K340" s="181"/>
      <c r="L340" s="57"/>
      <c r="M340" s="180"/>
    </row>
    <row r="341" spans="1:13" ht="22.5" x14ac:dyDescent="0.2">
      <c r="A341" s="210">
        <v>3</v>
      </c>
      <c r="B341" s="227"/>
      <c r="C341" s="227" t="s">
        <v>568</v>
      </c>
      <c r="D341" s="209" t="s">
        <v>569</v>
      </c>
      <c r="E341" s="307">
        <v>26</v>
      </c>
      <c r="F341" s="420" t="s">
        <v>570</v>
      </c>
      <c r="G341" s="307" t="s">
        <v>19</v>
      </c>
      <c r="H341" s="412">
        <v>436.6</v>
      </c>
      <c r="I341" s="307" t="s">
        <v>49</v>
      </c>
      <c r="J341" s="181" t="s">
        <v>571</v>
      </c>
      <c r="K341" s="181" t="s">
        <v>539</v>
      </c>
      <c r="L341" s="57">
        <v>93.4</v>
      </c>
      <c r="M341" s="148" t="s">
        <v>190</v>
      </c>
    </row>
    <row r="342" spans="1:13" x14ac:dyDescent="0.2">
      <c r="A342" s="302">
        <v>3</v>
      </c>
      <c r="B342" s="227"/>
      <c r="C342" s="227" t="s">
        <v>568</v>
      </c>
      <c r="D342" s="209"/>
      <c r="E342" s="421">
        <v>26</v>
      </c>
      <c r="F342" s="375" t="s">
        <v>570</v>
      </c>
      <c r="G342" s="422" t="s">
        <v>22</v>
      </c>
      <c r="H342" s="412">
        <v>7.2</v>
      </c>
      <c r="I342" s="307"/>
      <c r="J342" s="181"/>
      <c r="K342" s="181"/>
      <c r="L342" s="57"/>
      <c r="M342" s="180" t="s">
        <v>190</v>
      </c>
    </row>
    <row r="343" spans="1:13" x14ac:dyDescent="0.2">
      <c r="A343" s="210">
        <v>3</v>
      </c>
      <c r="B343" s="227"/>
      <c r="C343" s="227" t="s">
        <v>568</v>
      </c>
      <c r="D343" s="209"/>
      <c r="E343" s="421"/>
      <c r="F343" s="375" t="s">
        <v>570</v>
      </c>
      <c r="G343" s="376" t="s">
        <v>247</v>
      </c>
      <c r="H343" s="220">
        <f>SUM(H341:H342)</f>
        <v>443.8</v>
      </c>
      <c r="I343" s="307"/>
      <c r="J343" s="181"/>
      <c r="K343" s="181"/>
      <c r="L343" s="57"/>
      <c r="M343" s="180">
        <f>SUM(M341:M342)</f>
        <v>0</v>
      </c>
    </row>
    <row r="344" spans="1:13" ht="22.5" x14ac:dyDescent="0.2">
      <c r="A344" s="210">
        <v>3</v>
      </c>
      <c r="B344" s="227"/>
      <c r="C344" s="227" t="s">
        <v>572</v>
      </c>
      <c r="D344" s="209" t="s">
        <v>573</v>
      </c>
      <c r="E344" s="421">
        <v>27</v>
      </c>
      <c r="F344" s="375" t="s">
        <v>574</v>
      </c>
      <c r="G344" s="422" t="s">
        <v>19</v>
      </c>
      <c r="H344" s="219">
        <v>161.80000000000001</v>
      </c>
      <c r="I344" s="307" t="s">
        <v>49</v>
      </c>
      <c r="J344" s="181" t="s">
        <v>575</v>
      </c>
      <c r="K344" s="181" t="s">
        <v>539</v>
      </c>
      <c r="L344" s="57">
        <v>43.1</v>
      </c>
      <c r="M344" s="148" t="s">
        <v>183</v>
      </c>
    </row>
    <row r="345" spans="1:13" x14ac:dyDescent="0.2">
      <c r="A345" s="302">
        <v>3</v>
      </c>
      <c r="B345" s="227"/>
      <c r="C345" s="227" t="s">
        <v>572</v>
      </c>
      <c r="D345" s="209"/>
      <c r="E345" s="421"/>
      <c r="F345" s="375" t="s">
        <v>574</v>
      </c>
      <c r="G345" s="376" t="s">
        <v>247</v>
      </c>
      <c r="H345" s="220">
        <f>SUM(H344)</f>
        <v>161.80000000000001</v>
      </c>
      <c r="I345" s="307"/>
      <c r="J345" s="181"/>
      <c r="K345" s="181"/>
      <c r="L345" s="57"/>
      <c r="M345" s="182"/>
    </row>
    <row r="346" spans="1:13" ht="22.5" x14ac:dyDescent="0.2">
      <c r="A346" s="210">
        <v>3</v>
      </c>
      <c r="B346" s="227"/>
      <c r="C346" s="227" t="s">
        <v>576</v>
      </c>
      <c r="D346" s="209" t="s">
        <v>577</v>
      </c>
      <c r="E346" s="421">
        <v>28</v>
      </c>
      <c r="F346" s="375" t="s">
        <v>578</v>
      </c>
      <c r="G346" s="422" t="s">
        <v>19</v>
      </c>
      <c r="H346" s="412">
        <v>171.7</v>
      </c>
      <c r="I346" s="307" t="s">
        <v>49</v>
      </c>
      <c r="J346" s="181" t="s">
        <v>579</v>
      </c>
      <c r="K346" s="181" t="s">
        <v>539</v>
      </c>
      <c r="L346" s="57">
        <v>37.700000000000003</v>
      </c>
      <c r="M346" s="148" t="s">
        <v>198</v>
      </c>
    </row>
    <row r="347" spans="1:13" x14ac:dyDescent="0.2">
      <c r="A347" s="210">
        <v>3</v>
      </c>
      <c r="B347" s="227"/>
      <c r="C347" s="227" t="s">
        <v>576</v>
      </c>
      <c r="D347" s="209"/>
      <c r="E347" s="423"/>
      <c r="F347" s="375" t="s">
        <v>578</v>
      </c>
      <c r="G347" s="376" t="s">
        <v>247</v>
      </c>
      <c r="H347" s="220">
        <f>SUM(H346)</f>
        <v>171.7</v>
      </c>
      <c r="I347" s="307"/>
      <c r="J347" s="181"/>
      <c r="K347" s="181"/>
      <c r="L347" s="57"/>
      <c r="M347" s="180"/>
    </row>
    <row r="348" spans="1:13" ht="22.5" x14ac:dyDescent="0.2">
      <c r="A348" s="302">
        <v>3</v>
      </c>
      <c r="B348" s="227"/>
      <c r="C348" s="227" t="s">
        <v>580</v>
      </c>
      <c r="D348" s="424" t="s">
        <v>581</v>
      </c>
      <c r="E348" s="425">
        <v>29</v>
      </c>
      <c r="F348" s="375" t="s">
        <v>582</v>
      </c>
      <c r="G348" s="422" t="s">
        <v>19</v>
      </c>
      <c r="H348" s="412">
        <v>131.9</v>
      </c>
      <c r="I348" s="307" t="s">
        <v>49</v>
      </c>
      <c r="J348" s="181" t="s">
        <v>583</v>
      </c>
      <c r="K348" s="181" t="s">
        <v>539</v>
      </c>
      <c r="L348" s="57">
        <v>33.799999999999997</v>
      </c>
      <c r="M348" s="180" t="s">
        <v>222</v>
      </c>
    </row>
    <row r="349" spans="1:13" x14ac:dyDescent="0.2">
      <c r="A349" s="210">
        <v>3</v>
      </c>
      <c r="B349" s="227"/>
      <c r="C349" s="227" t="s">
        <v>580</v>
      </c>
      <c r="D349" s="424"/>
      <c r="E349" s="426"/>
      <c r="F349" s="375" t="s">
        <v>582</v>
      </c>
      <c r="G349" s="376" t="s">
        <v>247</v>
      </c>
      <c r="H349" s="220">
        <f>SUM(H348)</f>
        <v>131.9</v>
      </c>
      <c r="I349" s="307"/>
      <c r="J349" s="157"/>
      <c r="K349" s="163"/>
      <c r="L349" s="57"/>
      <c r="M349" s="180">
        <f>SUM(M348)</f>
        <v>0</v>
      </c>
    </row>
    <row r="350" spans="1:13" x14ac:dyDescent="0.2">
      <c r="A350" s="210">
        <v>3</v>
      </c>
      <c r="B350" s="427"/>
      <c r="C350" s="427"/>
      <c r="D350" s="428" t="s">
        <v>584</v>
      </c>
      <c r="E350" s="429"/>
      <c r="F350" s="430"/>
      <c r="G350" s="431"/>
      <c r="H350" s="432">
        <f>SUM(H349,H347,H345,H343,H340,H338,H336,H334,H332,H330,H328)</f>
        <v>2544.1</v>
      </c>
      <c r="I350" s="307"/>
      <c r="J350" s="157"/>
      <c r="K350" s="163"/>
      <c r="L350" s="57"/>
      <c r="M350" s="180"/>
    </row>
    <row r="351" spans="1:13" x14ac:dyDescent="0.2">
      <c r="A351" s="302">
        <v>3</v>
      </c>
      <c r="B351" s="227"/>
      <c r="C351" s="215" t="s">
        <v>585</v>
      </c>
      <c r="D351" s="433" t="s">
        <v>586</v>
      </c>
      <c r="E351" s="811">
        <v>6</v>
      </c>
      <c r="F351" s="210" t="s">
        <v>587</v>
      </c>
      <c r="G351" s="214" t="s">
        <v>22</v>
      </c>
      <c r="H351" s="412">
        <v>2</v>
      </c>
      <c r="I351" s="307"/>
      <c r="J351" s="163" t="s">
        <v>588</v>
      </c>
      <c r="K351" s="163" t="s">
        <v>89</v>
      </c>
      <c r="L351" s="57">
        <v>100</v>
      </c>
      <c r="M351" s="180"/>
    </row>
    <row r="352" spans="1:13" x14ac:dyDescent="0.2">
      <c r="A352" s="210">
        <v>3</v>
      </c>
      <c r="B352" s="227"/>
      <c r="C352" s="215" t="s">
        <v>585</v>
      </c>
      <c r="D352" s="433" t="s">
        <v>586</v>
      </c>
      <c r="E352" s="811">
        <v>6</v>
      </c>
      <c r="F352" s="210" t="s">
        <v>587</v>
      </c>
      <c r="G352" s="214" t="s">
        <v>589</v>
      </c>
      <c r="H352" s="412"/>
      <c r="I352" s="307"/>
      <c r="J352" s="157"/>
      <c r="K352" s="163"/>
      <c r="L352" s="57"/>
      <c r="M352" s="180"/>
    </row>
    <row r="353" spans="1:13" ht="22.5" x14ac:dyDescent="0.2">
      <c r="A353" s="210">
        <v>3</v>
      </c>
      <c r="B353" s="227"/>
      <c r="C353" s="215" t="s">
        <v>585</v>
      </c>
      <c r="D353" s="433" t="s">
        <v>586</v>
      </c>
      <c r="E353" s="434" t="s">
        <v>590</v>
      </c>
      <c r="F353" s="214" t="s">
        <v>587</v>
      </c>
      <c r="G353" s="210" t="s">
        <v>19</v>
      </c>
      <c r="H353" s="412">
        <f>100+100-10</f>
        <v>190</v>
      </c>
      <c r="I353" s="307" t="s">
        <v>58</v>
      </c>
      <c r="J353" s="181" t="s">
        <v>591</v>
      </c>
      <c r="K353" s="181" t="s">
        <v>592</v>
      </c>
      <c r="L353" s="898">
        <v>100</v>
      </c>
      <c r="M353" s="148" t="s">
        <v>183</v>
      </c>
    </row>
    <row r="354" spans="1:13" ht="26.25" customHeight="1" x14ac:dyDescent="0.2">
      <c r="A354" s="302">
        <v>3</v>
      </c>
      <c r="B354" s="227"/>
      <c r="C354" s="215" t="s">
        <v>585</v>
      </c>
      <c r="D354" s="433" t="s">
        <v>586</v>
      </c>
      <c r="E354" s="227" t="s">
        <v>513</v>
      </c>
      <c r="F354" s="435" t="s">
        <v>593</v>
      </c>
      <c r="G354" s="210" t="s">
        <v>19</v>
      </c>
      <c r="H354" s="412">
        <f>300-100-100</f>
        <v>100</v>
      </c>
      <c r="I354" s="307" t="s">
        <v>58</v>
      </c>
      <c r="J354" s="181" t="s">
        <v>485</v>
      </c>
      <c r="K354" s="163" t="s">
        <v>594</v>
      </c>
      <c r="L354" s="57">
        <v>1</v>
      </c>
      <c r="M354" s="148" t="s">
        <v>67</v>
      </c>
    </row>
    <row r="355" spans="1:13" x14ac:dyDescent="0.2">
      <c r="A355" s="210">
        <v>3</v>
      </c>
      <c r="B355" s="227"/>
      <c r="C355" s="215" t="s">
        <v>585</v>
      </c>
      <c r="D355" s="433" t="s">
        <v>586</v>
      </c>
      <c r="E355" s="227" t="s">
        <v>595</v>
      </c>
      <c r="F355" s="436" t="s">
        <v>596</v>
      </c>
      <c r="G355" s="210" t="s">
        <v>19</v>
      </c>
      <c r="H355" s="412">
        <v>5</v>
      </c>
      <c r="I355" s="307" t="s">
        <v>58</v>
      </c>
      <c r="J355" s="181" t="s">
        <v>597</v>
      </c>
      <c r="K355" s="76" t="s">
        <v>598</v>
      </c>
      <c r="L355" s="899">
        <v>1</v>
      </c>
      <c r="M355" s="148" t="s">
        <v>361</v>
      </c>
    </row>
    <row r="356" spans="1:13" ht="22.5" x14ac:dyDescent="0.2">
      <c r="A356" s="210">
        <v>3</v>
      </c>
      <c r="B356" s="227"/>
      <c r="C356" s="215" t="s">
        <v>585</v>
      </c>
      <c r="D356" s="433" t="s">
        <v>586</v>
      </c>
      <c r="E356" s="227" t="s">
        <v>599</v>
      </c>
      <c r="F356" s="436" t="s">
        <v>600</v>
      </c>
      <c r="G356" s="210" t="s">
        <v>19</v>
      </c>
      <c r="H356" s="412">
        <v>10</v>
      </c>
      <c r="I356" s="307" t="s">
        <v>58</v>
      </c>
      <c r="J356" s="181" t="s">
        <v>399</v>
      </c>
      <c r="K356" s="900" t="s">
        <v>601</v>
      </c>
      <c r="L356" s="901">
        <v>1</v>
      </c>
      <c r="M356" s="180" t="s">
        <v>190</v>
      </c>
    </row>
    <row r="357" spans="1:13" ht="22.5" x14ac:dyDescent="0.2">
      <c r="A357" s="302">
        <v>3</v>
      </c>
      <c r="B357" s="227"/>
      <c r="C357" s="215" t="s">
        <v>585</v>
      </c>
      <c r="D357" s="433" t="s">
        <v>586</v>
      </c>
      <c r="E357" s="227" t="s">
        <v>602</v>
      </c>
      <c r="F357" s="435" t="s">
        <v>603</v>
      </c>
      <c r="G357" s="210" t="s">
        <v>19</v>
      </c>
      <c r="H357" s="412">
        <v>30</v>
      </c>
      <c r="I357" s="307" t="s">
        <v>58</v>
      </c>
      <c r="J357" s="181" t="s">
        <v>604</v>
      </c>
      <c r="K357" s="900" t="s">
        <v>605</v>
      </c>
      <c r="L357" s="901">
        <v>1</v>
      </c>
      <c r="M357" s="148" t="s">
        <v>198</v>
      </c>
    </row>
    <row r="358" spans="1:13" ht="22.5" x14ac:dyDescent="0.2">
      <c r="A358" s="210">
        <v>3</v>
      </c>
      <c r="B358" s="227"/>
      <c r="C358" s="215" t="s">
        <v>585</v>
      </c>
      <c r="D358" s="433" t="s">
        <v>586</v>
      </c>
      <c r="E358" s="227" t="s">
        <v>606</v>
      </c>
      <c r="F358" s="437" t="s">
        <v>607</v>
      </c>
      <c r="G358" s="210" t="s">
        <v>19</v>
      </c>
      <c r="H358" s="412">
        <v>20</v>
      </c>
      <c r="I358" s="307" t="s">
        <v>58</v>
      </c>
      <c r="J358" s="163" t="s">
        <v>608</v>
      </c>
      <c r="K358" s="900" t="s">
        <v>609</v>
      </c>
      <c r="L358" s="901">
        <v>1</v>
      </c>
      <c r="M358" s="148" t="s">
        <v>222</v>
      </c>
    </row>
    <row r="359" spans="1:13" ht="22.5" x14ac:dyDescent="0.2">
      <c r="A359" s="210">
        <v>3</v>
      </c>
      <c r="B359" s="227"/>
      <c r="C359" s="215" t="s">
        <v>585</v>
      </c>
      <c r="D359" s="433" t="s">
        <v>586</v>
      </c>
      <c r="E359" s="227" t="s">
        <v>370</v>
      </c>
      <c r="F359" s="437" t="s">
        <v>610</v>
      </c>
      <c r="G359" s="210" t="s">
        <v>19</v>
      </c>
      <c r="H359" s="412">
        <v>12</v>
      </c>
      <c r="I359" s="307" t="s">
        <v>58</v>
      </c>
      <c r="J359" s="163" t="s">
        <v>374</v>
      </c>
      <c r="K359" s="900" t="s">
        <v>611</v>
      </c>
      <c r="L359" s="901">
        <v>1</v>
      </c>
      <c r="M359" s="148" t="s">
        <v>217</v>
      </c>
    </row>
    <row r="360" spans="1:13" x14ac:dyDescent="0.2">
      <c r="A360" s="302">
        <v>3</v>
      </c>
      <c r="B360" s="227"/>
      <c r="C360" s="215"/>
      <c r="D360" s="419"/>
      <c r="E360" s="227"/>
      <c r="F360" s="210"/>
      <c r="G360" s="312" t="s">
        <v>247</v>
      </c>
      <c r="H360" s="220">
        <f>SUM(H351:H359)</f>
        <v>369</v>
      </c>
      <c r="I360" s="307"/>
      <c r="J360" s="157"/>
      <c r="K360" s="163"/>
      <c r="L360" s="57"/>
      <c r="M360" s="180"/>
    </row>
    <row r="361" spans="1:13" ht="22.5" x14ac:dyDescent="0.2">
      <c r="A361" s="210">
        <v>3</v>
      </c>
      <c r="B361" s="418"/>
      <c r="C361" s="438" t="s">
        <v>612</v>
      </c>
      <c r="D361" s="225" t="s">
        <v>613</v>
      </c>
      <c r="E361" s="434" t="s">
        <v>615</v>
      </c>
      <c r="F361" s="214" t="s">
        <v>614</v>
      </c>
      <c r="G361" s="411" t="s">
        <v>19</v>
      </c>
      <c r="H361" s="412">
        <v>1.7</v>
      </c>
      <c r="I361" s="307" t="s">
        <v>64</v>
      </c>
      <c r="J361" s="163" t="s">
        <v>616</v>
      </c>
      <c r="K361" s="163" t="s">
        <v>617</v>
      </c>
      <c r="L361" s="57">
        <v>100</v>
      </c>
      <c r="M361" s="182" t="s">
        <v>545</v>
      </c>
    </row>
    <row r="362" spans="1:13" x14ac:dyDescent="0.2">
      <c r="A362" s="302">
        <v>3</v>
      </c>
      <c r="B362" s="418"/>
      <c r="C362" s="438"/>
      <c r="D362" s="225"/>
      <c r="E362" s="434"/>
      <c r="F362" s="214" t="s">
        <v>614</v>
      </c>
      <c r="G362" s="312" t="s">
        <v>247</v>
      </c>
      <c r="H362" s="220">
        <f>SUM(H361:H361)</f>
        <v>1.7</v>
      </c>
      <c r="I362" s="307"/>
      <c r="J362" s="157"/>
      <c r="K362" s="163"/>
      <c r="L362" s="57"/>
      <c r="M362" s="180"/>
    </row>
    <row r="363" spans="1:13" hidden="1" x14ac:dyDescent="0.2">
      <c r="A363" s="302">
        <v>3</v>
      </c>
      <c r="B363" s="227"/>
      <c r="C363" s="215"/>
      <c r="D363" s="209"/>
      <c r="E363" s="227"/>
      <c r="F363" s="210"/>
      <c r="G363" s="299" t="s">
        <v>247</v>
      </c>
      <c r="H363" s="299">
        <f>SUM(H362,H360,H349,H347,H345,H343,H340,H338,H336,H334,H332,H330,H328,H325,H320,H313,H308,H306,H304,H322,H316)</f>
        <v>7807.5</v>
      </c>
      <c r="I363" s="307"/>
      <c r="J363" s="157"/>
      <c r="K363" s="163"/>
      <c r="L363" s="57"/>
      <c r="M363" s="183"/>
    </row>
    <row r="364" spans="1:13" hidden="1" x14ac:dyDescent="0.2">
      <c r="A364" s="210">
        <v>3</v>
      </c>
      <c r="B364" s="227"/>
      <c r="C364" s="215"/>
      <c r="D364" s="209"/>
      <c r="E364" s="227"/>
      <c r="F364" s="210"/>
      <c r="G364" s="210" t="s">
        <v>19</v>
      </c>
      <c r="H364" s="211">
        <f>SUM(H324,H327,H329,H331,H333,H335,H337,H339,H344,H346,H348,H353,H354,H355,H356,H357,H361,H341,H305,H307,H309,H312,H321,H358,H359,H314)</f>
        <v>3054.3999999999996</v>
      </c>
      <c r="I364" s="307"/>
      <c r="J364" s="157"/>
      <c r="K364" s="163"/>
      <c r="L364" s="57"/>
      <c r="M364" s="183"/>
    </row>
    <row r="365" spans="1:13" hidden="1" x14ac:dyDescent="0.2">
      <c r="A365" s="210">
        <v>3</v>
      </c>
      <c r="B365" s="227"/>
      <c r="C365" s="215"/>
      <c r="D365" s="209"/>
      <c r="E365" s="227"/>
      <c r="F365" s="210"/>
      <c r="G365" s="210" t="s">
        <v>497</v>
      </c>
      <c r="H365" s="211">
        <f>SUM(H299,H302)</f>
        <v>752.8</v>
      </c>
      <c r="I365" s="307"/>
      <c r="J365" s="157"/>
      <c r="K365" s="163"/>
      <c r="L365" s="57"/>
      <c r="M365" s="183"/>
    </row>
    <row r="366" spans="1:13" hidden="1" x14ac:dyDescent="0.2">
      <c r="A366" s="302">
        <v>3</v>
      </c>
      <c r="B366" s="227"/>
      <c r="C366" s="215"/>
      <c r="D366" s="209"/>
      <c r="E366" s="227"/>
      <c r="F366" s="210"/>
      <c r="G366" s="210" t="s">
        <v>500</v>
      </c>
      <c r="H366" s="211">
        <f>SUM(H301)</f>
        <v>104.3</v>
      </c>
      <c r="I366" s="307"/>
      <c r="J366" s="157"/>
      <c r="K366" s="163"/>
      <c r="L366" s="57"/>
      <c r="M366" s="183"/>
    </row>
    <row r="367" spans="1:13" hidden="1" x14ac:dyDescent="0.2">
      <c r="A367" s="210">
        <v>3</v>
      </c>
      <c r="B367" s="227"/>
      <c r="C367" s="215"/>
      <c r="D367" s="209"/>
      <c r="E367" s="227"/>
      <c r="F367" s="210"/>
      <c r="G367" s="210" t="s">
        <v>56</v>
      </c>
      <c r="H367" s="211">
        <f>SUM(H310,H303)</f>
        <v>353.3</v>
      </c>
      <c r="I367" s="307"/>
      <c r="J367" s="157"/>
      <c r="K367" s="163"/>
      <c r="L367" s="57"/>
      <c r="M367" s="183"/>
    </row>
    <row r="368" spans="1:13" hidden="1" x14ac:dyDescent="0.2">
      <c r="A368" s="210">
        <v>3</v>
      </c>
      <c r="B368" s="227"/>
      <c r="C368" s="215"/>
      <c r="D368" s="209"/>
      <c r="E368" s="227"/>
      <c r="F368" s="210"/>
      <c r="G368" s="210" t="s">
        <v>59</v>
      </c>
      <c r="H368" s="211">
        <f>SUM(H311)</f>
        <v>39.5</v>
      </c>
      <c r="I368" s="307"/>
      <c r="J368" s="157"/>
      <c r="K368" s="163"/>
      <c r="L368" s="57"/>
      <c r="M368" s="183"/>
    </row>
    <row r="369" spans="1:13" hidden="1" x14ac:dyDescent="0.2">
      <c r="A369" s="302">
        <v>3</v>
      </c>
      <c r="B369" s="227"/>
      <c r="C369" s="215"/>
      <c r="D369" s="209"/>
      <c r="E369" s="227"/>
      <c r="F369" s="210"/>
      <c r="G369" s="210" t="s">
        <v>22</v>
      </c>
      <c r="H369" s="211">
        <f>SUM(H342,H351)</f>
        <v>9.1999999999999993</v>
      </c>
      <c r="I369" s="307"/>
      <c r="J369" s="157"/>
      <c r="K369" s="163"/>
      <c r="L369" s="57"/>
      <c r="M369" s="183"/>
    </row>
    <row r="370" spans="1:13" hidden="1" x14ac:dyDescent="0.2">
      <c r="A370" s="210">
        <v>3</v>
      </c>
      <c r="B370" s="227"/>
      <c r="C370" s="215"/>
      <c r="D370" s="209"/>
      <c r="E370" s="227"/>
      <c r="F370" s="210"/>
      <c r="G370" s="214" t="s">
        <v>589</v>
      </c>
      <c r="H370" s="211">
        <f>H352</f>
        <v>0</v>
      </c>
      <c r="I370" s="307"/>
      <c r="J370" s="157"/>
      <c r="K370" s="163"/>
      <c r="L370" s="57"/>
      <c r="M370" s="183"/>
    </row>
    <row r="371" spans="1:13" hidden="1" x14ac:dyDescent="0.2">
      <c r="A371" s="210">
        <v>3</v>
      </c>
      <c r="B371" s="227"/>
      <c r="C371" s="215"/>
      <c r="D371" s="209"/>
      <c r="E371" s="227"/>
      <c r="F371" s="210"/>
      <c r="G371" s="210" t="s">
        <v>21</v>
      </c>
      <c r="H371" s="211">
        <f>SUM(H300,H323)</f>
        <v>30</v>
      </c>
      <c r="I371" s="307"/>
      <c r="J371" s="157"/>
      <c r="K371" s="176"/>
      <c r="L371" s="177"/>
      <c r="M371" s="178"/>
    </row>
    <row r="372" spans="1:13" hidden="1" x14ac:dyDescent="0.2">
      <c r="A372" s="302">
        <v>3</v>
      </c>
      <c r="B372" s="227"/>
      <c r="C372" s="215"/>
      <c r="D372" s="209"/>
      <c r="E372" s="227"/>
      <c r="F372" s="210"/>
      <c r="G372" s="210" t="s">
        <v>521</v>
      </c>
      <c r="H372" s="211">
        <f>SUM(H318)</f>
        <v>3430</v>
      </c>
      <c r="I372" s="307"/>
      <c r="J372" s="157"/>
      <c r="K372" s="163"/>
      <c r="L372" s="57"/>
      <c r="M372" s="65"/>
    </row>
    <row r="373" spans="1:13" hidden="1" x14ac:dyDescent="0.2">
      <c r="A373" s="210">
        <v>3</v>
      </c>
      <c r="B373" s="227"/>
      <c r="C373" s="215"/>
      <c r="D373" s="209"/>
      <c r="E373" s="227"/>
      <c r="F373" s="210"/>
      <c r="G373" s="210" t="s">
        <v>522</v>
      </c>
      <c r="H373" s="211">
        <f>SUM(H319,)</f>
        <v>34</v>
      </c>
      <c r="I373" s="307"/>
      <c r="J373" s="157"/>
      <c r="K373" s="163"/>
      <c r="L373" s="57"/>
      <c r="M373" s="65"/>
    </row>
    <row r="374" spans="1:13" hidden="1" x14ac:dyDescent="0.2">
      <c r="A374" s="210">
        <v>3</v>
      </c>
      <c r="B374" s="227"/>
      <c r="C374" s="215"/>
      <c r="D374" s="209"/>
      <c r="E374" s="227"/>
      <c r="F374" s="210"/>
      <c r="G374" s="299" t="s">
        <v>247</v>
      </c>
      <c r="H374" s="299">
        <f>SUM(H364:H373)</f>
        <v>7807.5</v>
      </c>
      <c r="I374" s="307"/>
      <c r="J374" s="157"/>
      <c r="K374" s="163"/>
      <c r="L374" s="57"/>
      <c r="M374" s="65"/>
    </row>
    <row r="375" spans="1:13" hidden="1" x14ac:dyDescent="0.2">
      <c r="A375" s="302">
        <v>3</v>
      </c>
      <c r="B375" s="227"/>
      <c r="C375" s="215"/>
      <c r="D375" s="209"/>
      <c r="E375" s="227"/>
      <c r="F375" s="210"/>
      <c r="G375" s="210"/>
      <c r="H375" s="211">
        <f>H363-H374</f>
        <v>0</v>
      </c>
      <c r="I375" s="307"/>
      <c r="J375" s="157"/>
      <c r="K375" s="163"/>
      <c r="L375" s="57"/>
      <c r="M375" s="65"/>
    </row>
    <row r="376" spans="1:13" x14ac:dyDescent="0.2">
      <c r="A376" s="934"/>
      <c r="B376" s="934"/>
      <c r="C376" s="934"/>
      <c r="D376" s="934" t="s">
        <v>2020</v>
      </c>
      <c r="E376" s="935"/>
      <c r="F376" s="934"/>
      <c r="G376" s="934"/>
      <c r="H376" s="934"/>
      <c r="I376" s="934"/>
      <c r="J376" s="934"/>
      <c r="K376" s="934"/>
      <c r="L376" s="934"/>
      <c r="M376" s="936"/>
    </row>
    <row r="377" spans="1:13" ht="33.75" x14ac:dyDescent="0.2">
      <c r="A377" s="378">
        <v>4</v>
      </c>
      <c r="B377" s="303"/>
      <c r="C377" s="303"/>
      <c r="D377" s="304" t="s">
        <v>618</v>
      </c>
      <c r="E377" s="305"/>
      <c r="F377" s="306"/>
      <c r="G377" s="305"/>
      <c r="H377" s="305"/>
      <c r="I377" s="307"/>
      <c r="J377" s="157"/>
      <c r="K377" s="163"/>
      <c r="L377" s="57"/>
      <c r="M377" s="66"/>
    </row>
    <row r="378" spans="1:13" ht="22.5" x14ac:dyDescent="0.2">
      <c r="A378" s="439">
        <v>4</v>
      </c>
      <c r="B378" s="308" t="s">
        <v>619</v>
      </c>
      <c r="C378" s="308" t="s">
        <v>619</v>
      </c>
      <c r="D378" s="313" t="s">
        <v>620</v>
      </c>
      <c r="E378" s="440"/>
      <c r="F378" s="210"/>
      <c r="G378" s="382"/>
      <c r="H378" s="207"/>
      <c r="I378" s="307"/>
      <c r="J378" s="157"/>
      <c r="K378" s="163"/>
      <c r="L378" s="57"/>
      <c r="M378" s="67"/>
    </row>
    <row r="379" spans="1:13" ht="101.25" x14ac:dyDescent="0.2">
      <c r="A379" s="439">
        <v>4</v>
      </c>
      <c r="B379" s="384"/>
      <c r="C379" s="441" t="s">
        <v>623</v>
      </c>
      <c r="D379" s="468" t="s">
        <v>624</v>
      </c>
      <c r="E379" s="441" t="s">
        <v>626</v>
      </c>
      <c r="F379" s="447" t="s">
        <v>625</v>
      </c>
      <c r="G379" s="447" t="s">
        <v>19</v>
      </c>
      <c r="H379" s="219">
        <v>30</v>
      </c>
      <c r="I379" s="307" t="s">
        <v>64</v>
      </c>
      <c r="J379" s="945" t="s">
        <v>2044</v>
      </c>
      <c r="K379" s="946" t="s">
        <v>2045</v>
      </c>
      <c r="L379" s="451" t="s">
        <v>2046</v>
      </c>
      <c r="M379" s="67"/>
    </row>
    <row r="380" spans="1:13" x14ac:dyDescent="0.2">
      <c r="A380" s="378">
        <v>4</v>
      </c>
      <c r="B380" s="384"/>
      <c r="C380" s="441"/>
      <c r="D380" s="442"/>
      <c r="E380" s="441"/>
      <c r="F380" s="446"/>
      <c r="G380" s="312" t="s">
        <v>247</v>
      </c>
      <c r="H380" s="220">
        <f>SUM(H379:H379)</f>
        <v>30</v>
      </c>
      <c r="I380" s="307"/>
      <c r="J380" s="157"/>
      <c r="K380" s="163"/>
      <c r="L380" s="57"/>
      <c r="M380" s="67"/>
    </row>
    <row r="381" spans="1:13" ht="22.15" customHeight="1" x14ac:dyDescent="0.2">
      <c r="A381" s="439">
        <v>4</v>
      </c>
      <c r="B381" s="384"/>
      <c r="C381" s="441" t="s">
        <v>627</v>
      </c>
      <c r="D381" s="442" t="s">
        <v>628</v>
      </c>
      <c r="E381" s="441" t="s">
        <v>626</v>
      </c>
      <c r="F381" s="443" t="s">
        <v>629</v>
      </c>
      <c r="G381" s="439" t="s">
        <v>497</v>
      </c>
      <c r="H381" s="219">
        <f>117.5</f>
        <v>117.5</v>
      </c>
      <c r="I381" s="307"/>
      <c r="J381" s="903" t="s">
        <v>630</v>
      </c>
      <c r="K381" s="902" t="s">
        <v>631</v>
      </c>
      <c r="L381" s="904">
        <v>10</v>
      </c>
      <c r="M381" s="67"/>
    </row>
    <row r="382" spans="1:13" x14ac:dyDescent="0.2">
      <c r="A382" s="378">
        <v>4</v>
      </c>
      <c r="B382" s="384"/>
      <c r="C382" s="441"/>
      <c r="D382" s="442"/>
      <c r="E382" s="441" t="s">
        <v>626</v>
      </c>
      <c r="F382" s="443" t="s">
        <v>629</v>
      </c>
      <c r="G382" s="449" t="s">
        <v>19</v>
      </c>
      <c r="H382" s="219"/>
      <c r="I382" s="307"/>
      <c r="J382" s="157"/>
      <c r="K382" s="163"/>
      <c r="L382" s="57"/>
      <c r="M382" s="67"/>
    </row>
    <row r="383" spans="1:13" x14ac:dyDescent="0.2">
      <c r="A383" s="439">
        <v>4</v>
      </c>
      <c r="B383" s="384"/>
      <c r="C383" s="441"/>
      <c r="D383" s="442"/>
      <c r="E383" s="441" t="s">
        <v>626</v>
      </c>
      <c r="F383" s="443" t="s">
        <v>629</v>
      </c>
      <c r="G383" s="439" t="s">
        <v>500</v>
      </c>
      <c r="H383" s="219">
        <f>34.6-19.6</f>
        <v>15</v>
      </c>
      <c r="I383" s="307"/>
      <c r="J383" s="157"/>
      <c r="K383" s="163"/>
      <c r="L383" s="57"/>
      <c r="M383" s="67"/>
    </row>
    <row r="384" spans="1:13" x14ac:dyDescent="0.2">
      <c r="A384" s="378">
        <v>4</v>
      </c>
      <c r="B384" s="384"/>
      <c r="C384" s="441"/>
      <c r="D384" s="442"/>
      <c r="E384" s="441"/>
      <c r="F384" s="443" t="s">
        <v>629</v>
      </c>
      <c r="G384" s="312" t="s">
        <v>247</v>
      </c>
      <c r="H384" s="220">
        <f>SUM(H381:H383)</f>
        <v>132.5</v>
      </c>
      <c r="I384" s="307"/>
      <c r="J384" s="157"/>
      <c r="K384" s="163"/>
      <c r="L384" s="57"/>
      <c r="M384" s="67"/>
    </row>
    <row r="385" spans="1:13" ht="34.9" customHeight="1" x14ac:dyDescent="0.2">
      <c r="A385" s="439">
        <v>4</v>
      </c>
      <c r="B385" s="384"/>
      <c r="C385" s="441" t="s">
        <v>632</v>
      </c>
      <c r="D385" s="442" t="s">
        <v>633</v>
      </c>
      <c r="E385" s="441" t="s">
        <v>626</v>
      </c>
      <c r="F385" s="447" t="s">
        <v>634</v>
      </c>
      <c r="G385" s="447" t="s">
        <v>56</v>
      </c>
      <c r="H385" s="448">
        <f>206.2-31</f>
        <v>175.2</v>
      </c>
      <c r="I385" s="307"/>
      <c r="J385" s="903" t="s">
        <v>630</v>
      </c>
      <c r="K385" s="902" t="s">
        <v>635</v>
      </c>
      <c r="L385" s="904">
        <v>1</v>
      </c>
      <c r="M385" s="67"/>
    </row>
    <row r="386" spans="1:13" x14ac:dyDescent="0.2">
      <c r="A386" s="378">
        <v>4</v>
      </c>
      <c r="B386" s="384"/>
      <c r="C386" s="441"/>
      <c r="D386" s="442"/>
      <c r="E386" s="441" t="s">
        <v>626</v>
      </c>
      <c r="F386" s="447" t="s">
        <v>634</v>
      </c>
      <c r="G386" s="451" t="s">
        <v>59</v>
      </c>
      <c r="H386" s="448">
        <v>31</v>
      </c>
      <c r="I386" s="307"/>
      <c r="J386" s="157"/>
      <c r="K386" s="163"/>
      <c r="L386" s="57"/>
      <c r="M386" s="67"/>
    </row>
    <row r="387" spans="1:13" x14ac:dyDescent="0.2">
      <c r="A387" s="439">
        <v>4</v>
      </c>
      <c r="B387" s="384"/>
      <c r="C387" s="441"/>
      <c r="D387" s="442"/>
      <c r="E387" s="441"/>
      <c r="F387" s="447"/>
      <c r="G387" s="312" t="s">
        <v>247</v>
      </c>
      <c r="H387" s="220">
        <f>SUM(H385:H386)</f>
        <v>206.2</v>
      </c>
      <c r="I387" s="307"/>
      <c r="J387" s="157"/>
      <c r="K387" s="163"/>
      <c r="L387" s="57"/>
      <c r="M387" s="67"/>
    </row>
    <row r="388" spans="1:13" ht="22.5" x14ac:dyDescent="0.2">
      <c r="A388" s="439">
        <v>4</v>
      </c>
      <c r="B388" s="384"/>
      <c r="C388" s="441" t="s">
        <v>636</v>
      </c>
      <c r="D388" s="442" t="s">
        <v>637</v>
      </c>
      <c r="E388" s="441">
        <v>17</v>
      </c>
      <c r="F388" s="447" t="s">
        <v>638</v>
      </c>
      <c r="G388" s="447" t="s">
        <v>19</v>
      </c>
      <c r="H388" s="219">
        <v>50</v>
      </c>
      <c r="I388" s="444" t="s">
        <v>64</v>
      </c>
      <c r="J388" s="905" t="s">
        <v>639</v>
      </c>
      <c r="K388" s="906" t="s">
        <v>640</v>
      </c>
      <c r="L388" s="904">
        <v>4</v>
      </c>
      <c r="M388" s="67"/>
    </row>
    <row r="389" spans="1:13" x14ac:dyDescent="0.2">
      <c r="A389" s="378">
        <v>4</v>
      </c>
      <c r="B389" s="384"/>
      <c r="C389" s="452" t="s">
        <v>641</v>
      </c>
      <c r="D389" s="453" t="s">
        <v>641</v>
      </c>
      <c r="E389" s="454" t="s">
        <v>641</v>
      </c>
      <c r="F389" s="455" t="s">
        <v>641</v>
      </c>
      <c r="G389" s="312" t="s">
        <v>247</v>
      </c>
      <c r="H389" s="220">
        <f>SUM(H388)</f>
        <v>50</v>
      </c>
      <c r="I389" s="414" t="s">
        <v>641</v>
      </c>
      <c r="J389" s="68"/>
      <c r="K389" s="907"/>
      <c r="L389" s="68"/>
      <c r="M389" s="67"/>
    </row>
    <row r="390" spans="1:13" ht="22.5" x14ac:dyDescent="0.2">
      <c r="A390" s="439">
        <v>4</v>
      </c>
      <c r="B390" s="384"/>
      <c r="C390" s="441" t="s">
        <v>642</v>
      </c>
      <c r="D390" s="456" t="s">
        <v>643</v>
      </c>
      <c r="E390" s="441" t="s">
        <v>626</v>
      </c>
      <c r="F390" s="447" t="s">
        <v>644</v>
      </c>
      <c r="G390" s="447" t="s">
        <v>19</v>
      </c>
      <c r="H390" s="448">
        <f>12-1.2</f>
        <v>10.8</v>
      </c>
      <c r="I390" s="307" t="s">
        <v>49</v>
      </c>
      <c r="J390" s="903" t="s">
        <v>645</v>
      </c>
      <c r="K390" s="902" t="s">
        <v>646</v>
      </c>
      <c r="L390" s="904">
        <v>1</v>
      </c>
      <c r="M390" s="67"/>
    </row>
    <row r="391" spans="1:13" x14ac:dyDescent="0.2">
      <c r="A391" s="439">
        <v>4</v>
      </c>
      <c r="B391" s="384"/>
      <c r="C391" s="441"/>
      <c r="D391" s="457"/>
      <c r="E391" s="441" t="s">
        <v>626</v>
      </c>
      <c r="F391" s="443" t="s">
        <v>644</v>
      </c>
      <c r="G391" s="312" t="s">
        <v>247</v>
      </c>
      <c r="H391" s="220">
        <f>SUM(H390)</f>
        <v>10.8</v>
      </c>
      <c r="I391" s="307"/>
      <c r="J391" s="157"/>
      <c r="K391" s="163"/>
      <c r="L391" s="57"/>
      <c r="M391" s="67"/>
    </row>
    <row r="392" spans="1:13" ht="22.5" x14ac:dyDescent="0.2">
      <c r="A392" s="378">
        <v>4</v>
      </c>
      <c r="B392" s="308" t="s">
        <v>647</v>
      </c>
      <c r="C392" s="308" t="s">
        <v>647</v>
      </c>
      <c r="D392" s="313" t="s">
        <v>648</v>
      </c>
      <c r="E392" s="440"/>
      <c r="F392" s="210"/>
      <c r="G392" s="301"/>
      <c r="H392" s="207"/>
      <c r="I392" s="458"/>
      <c r="J392" s="892"/>
      <c r="K392" s="893"/>
      <c r="L392" s="908"/>
      <c r="M392" s="69"/>
    </row>
    <row r="393" spans="1:13" ht="33.75" x14ac:dyDescent="0.2">
      <c r="A393" s="439">
        <v>4</v>
      </c>
      <c r="B393" s="441"/>
      <c r="C393" s="441" t="s">
        <v>649</v>
      </c>
      <c r="D393" s="456" t="s">
        <v>650</v>
      </c>
      <c r="E393" s="441" t="s">
        <v>651</v>
      </c>
      <c r="F393" s="439" t="s">
        <v>652</v>
      </c>
      <c r="G393" s="439" t="s">
        <v>19</v>
      </c>
      <c r="H393" s="219">
        <f>180-60</f>
        <v>120</v>
      </c>
      <c r="I393" s="307" t="s">
        <v>64</v>
      </c>
      <c r="J393" s="163" t="s">
        <v>2009</v>
      </c>
      <c r="K393" s="163"/>
      <c r="L393" s="57"/>
      <c r="M393" s="67"/>
    </row>
    <row r="394" spans="1:13" x14ac:dyDescent="0.2">
      <c r="A394" s="439">
        <v>4</v>
      </c>
      <c r="B394" s="441"/>
      <c r="C394" s="441"/>
      <c r="D394" s="456"/>
      <c r="E394" s="441"/>
      <c r="F394" s="439" t="s">
        <v>652</v>
      </c>
      <c r="G394" s="312" t="s">
        <v>247</v>
      </c>
      <c r="H394" s="220">
        <f>SUM(H393:H393)</f>
        <v>120</v>
      </c>
      <c r="I394" s="307"/>
      <c r="J394" s="157"/>
      <c r="K394" s="163"/>
      <c r="L394" s="57"/>
      <c r="M394" s="67"/>
    </row>
    <row r="395" spans="1:13" ht="22.5" x14ac:dyDescent="0.2">
      <c r="A395" s="378">
        <v>4</v>
      </c>
      <c r="B395" s="441"/>
      <c r="C395" s="441" t="s">
        <v>653</v>
      </c>
      <c r="D395" s="442" t="s">
        <v>654</v>
      </c>
      <c r="E395" s="441" t="s">
        <v>626</v>
      </c>
      <c r="F395" s="446" t="s">
        <v>655</v>
      </c>
      <c r="G395" s="439" t="s">
        <v>19</v>
      </c>
      <c r="H395" s="459">
        <v>160</v>
      </c>
      <c r="I395" s="307" t="s">
        <v>64</v>
      </c>
      <c r="J395" s="902" t="s">
        <v>656</v>
      </c>
      <c r="K395" s="902" t="s">
        <v>657</v>
      </c>
      <c r="L395" s="904">
        <v>8</v>
      </c>
      <c r="M395" s="67"/>
    </row>
    <row r="396" spans="1:13" x14ac:dyDescent="0.2">
      <c r="A396" s="439">
        <v>4</v>
      </c>
      <c r="B396" s="441"/>
      <c r="C396" s="441"/>
      <c r="D396" s="442"/>
      <c r="E396" s="441" t="s">
        <v>626</v>
      </c>
      <c r="F396" s="446" t="s">
        <v>655</v>
      </c>
      <c r="G396" s="312" t="s">
        <v>247</v>
      </c>
      <c r="H396" s="220">
        <f>SUM(H395:H395)</f>
        <v>160</v>
      </c>
      <c r="I396" s="307"/>
      <c r="J396" s="157"/>
      <c r="K396" s="163"/>
      <c r="L396" s="57"/>
      <c r="M396" s="67"/>
    </row>
    <row r="397" spans="1:13" x14ac:dyDescent="0.2">
      <c r="A397" s="378">
        <v>4</v>
      </c>
      <c r="B397" s="441"/>
      <c r="C397" s="445" t="s">
        <v>658</v>
      </c>
      <c r="D397" s="1034" t="s">
        <v>659</v>
      </c>
      <c r="E397" s="441" t="s">
        <v>662</v>
      </c>
      <c r="F397" s="446" t="s">
        <v>661</v>
      </c>
      <c r="G397" s="447" t="s">
        <v>19</v>
      </c>
      <c r="H397" s="448">
        <v>2</v>
      </c>
      <c r="I397" s="307" t="s">
        <v>49</v>
      </c>
      <c r="J397" s="163" t="s">
        <v>2011</v>
      </c>
      <c r="K397" s="163"/>
      <c r="L397" s="57"/>
      <c r="M397" s="67"/>
    </row>
    <row r="398" spans="1:13" x14ac:dyDescent="0.2">
      <c r="A398" s="439">
        <v>4</v>
      </c>
      <c r="B398" s="441"/>
      <c r="C398" s="445"/>
      <c r="D398" s="1034"/>
      <c r="E398" s="441" t="s">
        <v>663</v>
      </c>
      <c r="F398" s="446" t="s">
        <v>661</v>
      </c>
      <c r="G398" s="447" t="s">
        <v>19</v>
      </c>
      <c r="H398" s="448">
        <v>16.2</v>
      </c>
      <c r="I398" s="307" t="s">
        <v>49</v>
      </c>
      <c r="J398" s="163" t="s">
        <v>2012</v>
      </c>
      <c r="K398" s="163"/>
      <c r="L398" s="57"/>
      <c r="M398" s="67"/>
    </row>
    <row r="399" spans="1:13" x14ac:dyDescent="0.2">
      <c r="A399" s="378">
        <v>4</v>
      </c>
      <c r="B399" s="441"/>
      <c r="C399" s="445"/>
      <c r="D399" s="1034"/>
      <c r="E399" s="441" t="s">
        <v>651</v>
      </c>
      <c r="F399" s="446" t="s">
        <v>661</v>
      </c>
      <c r="G399" s="447" t="s">
        <v>19</v>
      </c>
      <c r="H399" s="448">
        <v>90</v>
      </c>
      <c r="I399" s="307" t="s">
        <v>49</v>
      </c>
      <c r="J399" s="163" t="s">
        <v>2010</v>
      </c>
      <c r="K399" s="163"/>
      <c r="L399" s="57"/>
      <c r="M399" s="67"/>
    </row>
    <row r="400" spans="1:13" x14ac:dyDescent="0.2">
      <c r="A400" s="439">
        <v>4</v>
      </c>
      <c r="B400" s="441"/>
      <c r="C400" s="445"/>
      <c r="D400" s="1035"/>
      <c r="E400" s="441"/>
      <c r="F400" s="446" t="s">
        <v>661</v>
      </c>
      <c r="G400" s="312" t="s">
        <v>247</v>
      </c>
      <c r="H400" s="220">
        <f>SUM(H397:H399)</f>
        <v>108.2</v>
      </c>
      <c r="I400" s="307"/>
      <c r="J400" s="157"/>
      <c r="K400" s="163"/>
      <c r="L400" s="57"/>
      <c r="M400" s="67"/>
    </row>
    <row r="401" spans="1:13" ht="45" x14ac:dyDescent="0.2">
      <c r="A401" s="378">
        <v>4</v>
      </c>
      <c r="B401" s="441"/>
      <c r="C401" s="460" t="s">
        <v>664</v>
      </c>
      <c r="D401" s="461" t="s">
        <v>665</v>
      </c>
      <c r="E401" s="441" t="s">
        <v>663</v>
      </c>
      <c r="F401" s="447" t="s">
        <v>666</v>
      </c>
      <c r="G401" s="447" t="s">
        <v>19</v>
      </c>
      <c r="H401" s="448">
        <v>118.2</v>
      </c>
      <c r="I401" s="307" t="s">
        <v>196</v>
      </c>
      <c r="J401" s="163" t="s">
        <v>2012</v>
      </c>
      <c r="K401" s="163"/>
      <c r="L401" s="57"/>
      <c r="M401" s="67" t="s">
        <v>183</v>
      </c>
    </row>
    <row r="402" spans="1:13" x14ac:dyDescent="0.2">
      <c r="A402" s="439">
        <v>4</v>
      </c>
      <c r="B402" s="441"/>
      <c r="C402" s="460"/>
      <c r="D402" s="462"/>
      <c r="E402" s="441" t="s">
        <v>662</v>
      </c>
      <c r="F402" s="447" t="s">
        <v>666</v>
      </c>
      <c r="G402" s="447" t="s">
        <v>19</v>
      </c>
      <c r="H402" s="448">
        <v>25</v>
      </c>
      <c r="I402" s="307"/>
      <c r="J402" s="163" t="s">
        <v>2011</v>
      </c>
      <c r="K402" s="163"/>
      <c r="L402" s="57"/>
      <c r="M402" s="67" t="s">
        <v>190</v>
      </c>
    </row>
    <row r="403" spans="1:13" x14ac:dyDescent="0.2">
      <c r="A403" s="439">
        <v>4</v>
      </c>
      <c r="B403" s="441"/>
      <c r="C403" s="463"/>
      <c r="D403" s="464"/>
      <c r="E403" s="465" t="s">
        <v>651</v>
      </c>
      <c r="F403" s="447" t="s">
        <v>666</v>
      </c>
      <c r="G403" s="439" t="s">
        <v>19</v>
      </c>
      <c r="H403" s="448">
        <f>19.5+1.2</f>
        <v>20.7</v>
      </c>
      <c r="I403" s="307"/>
      <c r="J403" s="163" t="s">
        <v>2010</v>
      </c>
      <c r="K403" s="163"/>
      <c r="L403" s="57"/>
      <c r="M403" s="67" t="s">
        <v>67</v>
      </c>
    </row>
    <row r="404" spans="1:13" x14ac:dyDescent="0.2">
      <c r="A404" s="378">
        <v>4</v>
      </c>
      <c r="B404" s="441"/>
      <c r="C404" s="460"/>
      <c r="D404" s="466"/>
      <c r="E404" s="441" t="s">
        <v>626</v>
      </c>
      <c r="F404" s="447" t="s">
        <v>666</v>
      </c>
      <c r="G404" s="447" t="s">
        <v>19</v>
      </c>
      <c r="H404" s="448">
        <v>6.5</v>
      </c>
      <c r="I404" s="307"/>
      <c r="J404" s="163" t="s">
        <v>645</v>
      </c>
      <c r="K404" s="163" t="s">
        <v>2008</v>
      </c>
      <c r="L404" s="57">
        <v>100</v>
      </c>
      <c r="M404" s="67" t="s">
        <v>67</v>
      </c>
    </row>
    <row r="405" spans="1:13" x14ac:dyDescent="0.2">
      <c r="A405" s="439">
        <v>4</v>
      </c>
      <c r="B405" s="441"/>
      <c r="C405" s="460"/>
      <c r="D405" s="462"/>
      <c r="E405" s="445"/>
      <c r="F405" s="447" t="s">
        <v>666</v>
      </c>
      <c r="G405" s="312" t="s">
        <v>247</v>
      </c>
      <c r="H405" s="220">
        <f>SUM(H401:H404)</f>
        <v>170.39999999999998</v>
      </c>
      <c r="I405" s="307"/>
      <c r="J405" s="157"/>
      <c r="K405" s="163"/>
      <c r="L405" s="57"/>
      <c r="M405" s="67"/>
    </row>
    <row r="406" spans="1:13" ht="19.149999999999999" customHeight="1" x14ac:dyDescent="0.2">
      <c r="A406" s="378">
        <v>4</v>
      </c>
      <c r="B406" s="441"/>
      <c r="C406" s="441" t="s">
        <v>667</v>
      </c>
      <c r="D406" s="442" t="s">
        <v>668</v>
      </c>
      <c r="E406" s="441" t="s">
        <v>651</v>
      </c>
      <c r="F406" s="447" t="s">
        <v>669</v>
      </c>
      <c r="G406" s="439" t="s">
        <v>19</v>
      </c>
      <c r="H406" s="448">
        <v>60</v>
      </c>
      <c r="I406" s="307" t="s">
        <v>64</v>
      </c>
      <c r="J406" s="157"/>
      <c r="K406" s="163"/>
      <c r="L406" s="57"/>
      <c r="M406" s="67"/>
    </row>
    <row r="407" spans="1:13" x14ac:dyDescent="0.2">
      <c r="A407" s="439">
        <v>4</v>
      </c>
      <c r="B407" s="441"/>
      <c r="C407" s="441"/>
      <c r="D407" s="442"/>
      <c r="E407" s="441"/>
      <c r="F407" s="447"/>
      <c r="G407" s="312" t="s">
        <v>247</v>
      </c>
      <c r="H407" s="220">
        <f>SUM(H406:H406)</f>
        <v>60</v>
      </c>
      <c r="I407" s="307"/>
      <c r="J407" s="157"/>
      <c r="K407" s="163"/>
      <c r="L407" s="57"/>
      <c r="M407" s="67"/>
    </row>
    <row r="408" spans="1:13" ht="22.5" x14ac:dyDescent="0.2">
      <c r="A408" s="439">
        <v>4</v>
      </c>
      <c r="B408" s="384"/>
      <c r="C408" s="441" t="s">
        <v>670</v>
      </c>
      <c r="D408" s="469" t="s">
        <v>671</v>
      </c>
      <c r="E408" s="441" t="s">
        <v>626</v>
      </c>
      <c r="F408" s="447" t="s">
        <v>672</v>
      </c>
      <c r="G408" s="451" t="s">
        <v>56</v>
      </c>
      <c r="H408" s="448">
        <v>28.8</v>
      </c>
      <c r="I408" s="307" t="s">
        <v>181</v>
      </c>
      <c r="J408" s="903" t="s">
        <v>673</v>
      </c>
      <c r="K408" s="902" t="s">
        <v>674</v>
      </c>
      <c r="L408" s="904">
        <v>20</v>
      </c>
      <c r="M408" s="67"/>
    </row>
    <row r="409" spans="1:13" x14ac:dyDescent="0.2">
      <c r="A409" s="378">
        <v>4</v>
      </c>
      <c r="B409" s="384"/>
      <c r="C409" s="441"/>
      <c r="D409" s="469"/>
      <c r="E409" s="441" t="s">
        <v>626</v>
      </c>
      <c r="F409" s="447" t="s">
        <v>672</v>
      </c>
      <c r="G409" s="451" t="s">
        <v>59</v>
      </c>
      <c r="H409" s="448">
        <v>5.0999999999999996</v>
      </c>
      <c r="I409" s="307"/>
      <c r="J409" s="157"/>
      <c r="K409" s="163"/>
      <c r="L409" s="57"/>
      <c r="M409" s="67"/>
    </row>
    <row r="410" spans="1:13" x14ac:dyDescent="0.2">
      <c r="A410" s="439">
        <v>4</v>
      </c>
      <c r="B410" s="384"/>
      <c r="C410" s="441"/>
      <c r="D410" s="469"/>
      <c r="E410" s="441" t="s">
        <v>651</v>
      </c>
      <c r="F410" s="447" t="s">
        <v>672</v>
      </c>
      <c r="G410" s="451" t="s">
        <v>56</v>
      </c>
      <c r="H410" s="448">
        <f>2337.8-782.2</f>
        <v>1555.6000000000001</v>
      </c>
      <c r="I410" s="307"/>
      <c r="J410" s="157"/>
      <c r="K410" s="163"/>
      <c r="L410" s="57"/>
      <c r="M410" s="67"/>
    </row>
    <row r="411" spans="1:13" x14ac:dyDescent="0.2">
      <c r="A411" s="439">
        <v>4</v>
      </c>
      <c r="B411" s="384"/>
      <c r="C411" s="441"/>
      <c r="D411" s="469"/>
      <c r="E411" s="441" t="s">
        <v>651</v>
      </c>
      <c r="F411" s="447" t="s">
        <v>672</v>
      </c>
      <c r="G411" s="451" t="s">
        <v>59</v>
      </c>
      <c r="H411" s="448">
        <f>412.6-138</f>
        <v>274.60000000000002</v>
      </c>
      <c r="I411" s="307"/>
      <c r="J411" s="157"/>
      <c r="K411" s="163"/>
      <c r="L411" s="57"/>
      <c r="M411" s="67"/>
    </row>
    <row r="412" spans="1:13" x14ac:dyDescent="0.2">
      <c r="A412" s="378">
        <v>4</v>
      </c>
      <c r="B412" s="384"/>
      <c r="C412" s="441"/>
      <c r="D412" s="469"/>
      <c r="E412" s="441" t="s">
        <v>651</v>
      </c>
      <c r="F412" s="447" t="s">
        <v>672</v>
      </c>
      <c r="G412" s="451" t="s">
        <v>19</v>
      </c>
      <c r="H412" s="448">
        <v>189.4</v>
      </c>
      <c r="I412" s="307" t="s">
        <v>181</v>
      </c>
      <c r="J412" s="157"/>
      <c r="K412" s="163"/>
      <c r="L412" s="57"/>
      <c r="M412" s="67"/>
    </row>
    <row r="413" spans="1:13" x14ac:dyDescent="0.2">
      <c r="A413" s="439">
        <v>4</v>
      </c>
      <c r="B413" s="384"/>
      <c r="C413" s="441"/>
      <c r="D413" s="469"/>
      <c r="E413" s="470" t="s">
        <v>626</v>
      </c>
      <c r="F413" s="447" t="s">
        <v>672</v>
      </c>
      <c r="G413" s="451" t="s">
        <v>176</v>
      </c>
      <c r="H413" s="448">
        <f>559-100-225.6</f>
        <v>233.4</v>
      </c>
      <c r="I413" s="307"/>
      <c r="J413" s="157"/>
      <c r="K413" s="163"/>
      <c r="L413" s="57"/>
      <c r="M413" s="67"/>
    </row>
    <row r="414" spans="1:13" x14ac:dyDescent="0.2">
      <c r="A414" s="439">
        <v>4</v>
      </c>
      <c r="B414" s="384"/>
      <c r="C414" s="441"/>
      <c r="D414" s="469"/>
      <c r="E414" s="441" t="s">
        <v>675</v>
      </c>
      <c r="F414" s="447" t="s">
        <v>672</v>
      </c>
      <c r="G414" s="451" t="s">
        <v>56</v>
      </c>
      <c r="H414" s="448">
        <v>172.4</v>
      </c>
      <c r="I414" s="307" t="s">
        <v>181</v>
      </c>
      <c r="J414" s="157"/>
      <c r="K414" s="163"/>
      <c r="L414" s="57"/>
      <c r="M414" s="67"/>
    </row>
    <row r="415" spans="1:13" x14ac:dyDescent="0.2">
      <c r="A415" s="378">
        <v>4</v>
      </c>
      <c r="B415" s="384"/>
      <c r="C415" s="441"/>
      <c r="D415" s="469"/>
      <c r="E415" s="441" t="s">
        <v>675</v>
      </c>
      <c r="F415" s="447" t="s">
        <v>672</v>
      </c>
      <c r="G415" s="451" t="s">
        <v>59</v>
      </c>
      <c r="H415" s="448">
        <v>30.5</v>
      </c>
      <c r="I415" s="307"/>
      <c r="J415" s="157"/>
      <c r="K415" s="163"/>
      <c r="L415" s="57"/>
      <c r="M415" s="67"/>
    </row>
    <row r="416" spans="1:13" x14ac:dyDescent="0.2">
      <c r="A416" s="439">
        <v>4</v>
      </c>
      <c r="B416" s="384"/>
      <c r="C416" s="441"/>
      <c r="D416" s="469"/>
      <c r="E416" s="441" t="s">
        <v>662</v>
      </c>
      <c r="F416" s="447" t="s">
        <v>672</v>
      </c>
      <c r="G416" s="451" t="s">
        <v>19</v>
      </c>
      <c r="H416" s="448">
        <f>65.7-50</f>
        <v>15.700000000000003</v>
      </c>
      <c r="I416" s="307" t="s">
        <v>181</v>
      </c>
      <c r="J416" s="157"/>
      <c r="K416" s="163"/>
      <c r="L416" s="57"/>
      <c r="M416" s="67"/>
    </row>
    <row r="417" spans="1:13" x14ac:dyDescent="0.2">
      <c r="A417" s="439">
        <v>4</v>
      </c>
      <c r="B417" s="384"/>
      <c r="C417" s="441"/>
      <c r="D417" s="469"/>
      <c r="E417" s="470" t="s">
        <v>676</v>
      </c>
      <c r="F417" s="447" t="s">
        <v>672</v>
      </c>
      <c r="G417" s="451" t="s">
        <v>56</v>
      </c>
      <c r="H417" s="448">
        <v>114.5</v>
      </c>
      <c r="I417" s="307" t="s">
        <v>181</v>
      </c>
      <c r="J417" s="157"/>
      <c r="K417" s="163"/>
      <c r="L417" s="57"/>
      <c r="M417" s="67"/>
    </row>
    <row r="418" spans="1:13" x14ac:dyDescent="0.2">
      <c r="A418" s="378">
        <v>4</v>
      </c>
      <c r="B418" s="384"/>
      <c r="C418" s="441"/>
      <c r="D418" s="469"/>
      <c r="E418" s="470" t="s">
        <v>676</v>
      </c>
      <c r="F418" s="447" t="s">
        <v>672</v>
      </c>
      <c r="G418" s="451" t="s">
        <v>59</v>
      </c>
      <c r="H418" s="448">
        <v>20.2</v>
      </c>
      <c r="I418" s="307"/>
      <c r="J418" s="157"/>
      <c r="K418" s="163"/>
      <c r="L418" s="57"/>
      <c r="M418" s="67"/>
    </row>
    <row r="419" spans="1:13" x14ac:dyDescent="0.2">
      <c r="A419" s="439">
        <v>4</v>
      </c>
      <c r="B419" s="384"/>
      <c r="C419" s="441"/>
      <c r="D419" s="469"/>
      <c r="E419" s="470"/>
      <c r="F419" s="447"/>
      <c r="G419" s="312" t="s">
        <v>247</v>
      </c>
      <c r="H419" s="220">
        <f>SUM(H408:H418)</f>
        <v>2640.2000000000003</v>
      </c>
      <c r="I419" s="307" t="s">
        <v>181</v>
      </c>
      <c r="J419" s="157"/>
      <c r="K419" s="163"/>
      <c r="L419" s="57"/>
      <c r="M419" s="67"/>
    </row>
    <row r="420" spans="1:13" ht="22.5" x14ac:dyDescent="0.2">
      <c r="A420" s="439">
        <v>4</v>
      </c>
      <c r="B420" s="384"/>
      <c r="C420" s="441" t="s">
        <v>677</v>
      </c>
      <c r="D420" s="473" t="s">
        <v>678</v>
      </c>
      <c r="E420" s="441" t="s">
        <v>626</v>
      </c>
      <c r="F420" s="447" t="s">
        <v>679</v>
      </c>
      <c r="G420" s="375" t="s">
        <v>19</v>
      </c>
      <c r="H420" s="471">
        <f>29.1-19.5</f>
        <v>9.6000000000000014</v>
      </c>
      <c r="I420" s="307" t="s">
        <v>58</v>
      </c>
      <c r="J420" s="903" t="s">
        <v>630</v>
      </c>
      <c r="K420" s="909" t="s">
        <v>680</v>
      </c>
      <c r="L420" s="910">
        <v>15</v>
      </c>
      <c r="M420" s="70" t="s">
        <v>67</v>
      </c>
    </row>
    <row r="421" spans="1:13" x14ac:dyDescent="0.2">
      <c r="A421" s="439">
        <v>4</v>
      </c>
      <c r="B421" s="384"/>
      <c r="C421" s="441"/>
      <c r="D421" s="469"/>
      <c r="E421" s="441" t="s">
        <v>626</v>
      </c>
      <c r="F421" s="447" t="s">
        <v>679</v>
      </c>
      <c r="G421" s="375" t="s">
        <v>56</v>
      </c>
      <c r="H421" s="471">
        <f>165-110.6</f>
        <v>54.400000000000006</v>
      </c>
      <c r="I421" s="307"/>
      <c r="J421" s="157"/>
      <c r="K421" s="163"/>
      <c r="L421" s="57"/>
      <c r="M421" s="67"/>
    </row>
    <row r="422" spans="1:13" x14ac:dyDescent="0.2">
      <c r="A422" s="378">
        <v>4</v>
      </c>
      <c r="B422" s="384"/>
      <c r="C422" s="441"/>
      <c r="D422" s="469"/>
      <c r="E422" s="441"/>
      <c r="F422" s="472"/>
      <c r="G422" s="474" t="s">
        <v>247</v>
      </c>
      <c r="H422" s="475">
        <f>SUM(H420:H421)</f>
        <v>64</v>
      </c>
      <c r="I422" s="307"/>
      <c r="J422" s="157"/>
      <c r="K422" s="163"/>
      <c r="L422" s="57"/>
      <c r="M422" s="67"/>
    </row>
    <row r="423" spans="1:13" ht="33.75" x14ac:dyDescent="0.2">
      <c r="A423" s="439">
        <v>4</v>
      </c>
      <c r="B423" s="384"/>
      <c r="C423" s="441" t="s">
        <v>681</v>
      </c>
      <c r="D423" s="476" t="s">
        <v>682</v>
      </c>
      <c r="E423" s="441" t="s">
        <v>626</v>
      </c>
      <c r="F423" s="447" t="s">
        <v>683</v>
      </c>
      <c r="G423" s="375" t="s">
        <v>56</v>
      </c>
      <c r="H423" s="471">
        <f>154.3-107.2</f>
        <v>47.100000000000009</v>
      </c>
      <c r="I423" s="307" t="s">
        <v>58</v>
      </c>
      <c r="J423" s="903" t="s">
        <v>630</v>
      </c>
      <c r="K423" s="911" t="s">
        <v>684</v>
      </c>
      <c r="L423" s="910">
        <v>1</v>
      </c>
      <c r="M423" s="67"/>
    </row>
    <row r="424" spans="1:13" x14ac:dyDescent="0.2">
      <c r="A424" s="439">
        <v>4</v>
      </c>
      <c r="B424" s="384"/>
      <c r="C424" s="441"/>
      <c r="D424" s="469"/>
      <c r="E424" s="441" t="s">
        <v>626</v>
      </c>
      <c r="F424" s="447" t="s">
        <v>683</v>
      </c>
      <c r="G424" s="477" t="s">
        <v>59</v>
      </c>
      <c r="H424" s="471">
        <f>27.3-18.9</f>
        <v>8.4000000000000021</v>
      </c>
      <c r="I424" s="307"/>
      <c r="J424" s="157"/>
      <c r="K424" s="163"/>
      <c r="L424" s="57"/>
      <c r="M424" s="67"/>
    </row>
    <row r="425" spans="1:13" ht="12.75" customHeight="1" x14ac:dyDescent="0.2">
      <c r="A425" s="378">
        <v>4</v>
      </c>
      <c r="B425" s="384"/>
      <c r="C425" s="441"/>
      <c r="D425" s="469"/>
      <c r="E425" s="441"/>
      <c r="F425" s="472"/>
      <c r="G425" s="478" t="s">
        <v>247</v>
      </c>
      <c r="H425" s="267">
        <f>SUM(H423:H424)</f>
        <v>55.500000000000014</v>
      </c>
      <c r="I425" s="307"/>
      <c r="J425" s="157"/>
      <c r="K425" s="163"/>
      <c r="L425" s="57"/>
      <c r="M425" s="67"/>
    </row>
    <row r="426" spans="1:13" ht="35.25" customHeight="1" x14ac:dyDescent="0.2">
      <c r="A426" s="439">
        <v>4</v>
      </c>
      <c r="B426" s="384"/>
      <c r="C426" s="441" t="s">
        <v>2062</v>
      </c>
      <c r="D426" s="476" t="s">
        <v>2063</v>
      </c>
      <c r="E426" s="441" t="s">
        <v>62</v>
      </c>
      <c r="F426" s="447" t="s">
        <v>2064</v>
      </c>
      <c r="G426" s="375" t="s">
        <v>19</v>
      </c>
      <c r="H426" s="471">
        <f>69.4-60</f>
        <v>9.4000000000000057</v>
      </c>
      <c r="I426" s="307"/>
      <c r="J426" s="945" t="s">
        <v>1873</v>
      </c>
      <c r="K426" s="954" t="s">
        <v>2065</v>
      </c>
      <c r="L426" s="451" t="s">
        <v>2032</v>
      </c>
      <c r="M426" s="953" t="s">
        <v>67</v>
      </c>
    </row>
    <row r="427" spans="1:13" ht="12.75" customHeight="1" x14ac:dyDescent="0.2">
      <c r="A427" s="439">
        <v>4</v>
      </c>
      <c r="B427" s="384"/>
      <c r="C427" s="441"/>
      <c r="D427" s="469"/>
      <c r="E427" s="441" t="s">
        <v>62</v>
      </c>
      <c r="F427" s="447" t="s">
        <v>2064</v>
      </c>
      <c r="G427" s="477" t="s">
        <v>21</v>
      </c>
      <c r="H427" s="471">
        <f>398+9</f>
        <v>407</v>
      </c>
      <c r="I427" s="307"/>
      <c r="J427" s="214"/>
      <c r="K427" s="370"/>
      <c r="L427" s="311"/>
      <c r="M427" s="953" t="s">
        <v>67</v>
      </c>
    </row>
    <row r="428" spans="1:13" ht="12.75" customHeight="1" x14ac:dyDescent="0.2">
      <c r="A428" s="378">
        <v>4</v>
      </c>
      <c r="B428" s="384"/>
      <c r="C428" s="441"/>
      <c r="D428" s="469"/>
      <c r="E428" s="441"/>
      <c r="F428" s="472"/>
      <c r="G428" s="478" t="s">
        <v>247</v>
      </c>
      <c r="H428" s="267">
        <f>SUM(H426:H427)</f>
        <v>416.4</v>
      </c>
      <c r="I428" s="307"/>
      <c r="J428" s="157"/>
      <c r="K428" s="163"/>
      <c r="L428" s="57"/>
      <c r="M428" s="67"/>
    </row>
    <row r="429" spans="1:13" ht="12.75" hidden="1" customHeight="1" x14ac:dyDescent="0.2">
      <c r="A429" s="439">
        <v>4</v>
      </c>
      <c r="B429" s="384"/>
      <c r="C429" s="441"/>
      <c r="D429" s="469"/>
      <c r="E429" s="441"/>
      <c r="F429" s="472"/>
      <c r="G429" s="479" t="s">
        <v>247</v>
      </c>
      <c r="H429" s="479">
        <f>SUM(H380,H384,H394,H396,H400,H405,H422,H419,H407,H387,H389,H425,H391,H428)</f>
        <v>4224.2</v>
      </c>
      <c r="I429" s="311"/>
      <c r="J429" s="157"/>
      <c r="K429" s="163"/>
      <c r="L429" s="57"/>
      <c r="M429" s="67"/>
    </row>
    <row r="430" spans="1:13" ht="12.75" hidden="1" customHeight="1" x14ac:dyDescent="0.2">
      <c r="A430" s="439">
        <v>4</v>
      </c>
      <c r="B430" s="384"/>
      <c r="C430" s="441"/>
      <c r="D430" s="469"/>
      <c r="E430" s="441"/>
      <c r="F430" s="472"/>
      <c r="G430" s="480" t="s">
        <v>19</v>
      </c>
      <c r="H430" s="939">
        <f>SUM(H379,H393,H395,H397,H398,H399,H401,H406,H412,H416,H420,H388,H382,H403,H404,H402,H390,H426)</f>
        <v>933.5</v>
      </c>
      <c r="I430" s="307"/>
      <c r="J430" s="157"/>
      <c r="K430" s="163"/>
      <c r="L430" s="57"/>
      <c r="M430" s="67"/>
    </row>
    <row r="431" spans="1:13" ht="12.75" hidden="1" customHeight="1" x14ac:dyDescent="0.2">
      <c r="A431" s="378">
        <v>4</v>
      </c>
      <c r="B431" s="384"/>
      <c r="C431" s="441"/>
      <c r="D431" s="469"/>
      <c r="E431" s="441"/>
      <c r="F431" s="472"/>
      <c r="G431" s="481" t="s">
        <v>21</v>
      </c>
      <c r="H431" s="941">
        <f>H427</f>
        <v>407</v>
      </c>
      <c r="I431" s="307"/>
      <c r="J431" s="157"/>
      <c r="K431" s="163"/>
      <c r="L431" s="57"/>
      <c r="M431" s="67"/>
    </row>
    <row r="432" spans="1:13" ht="12.75" hidden="1" customHeight="1" x14ac:dyDescent="0.2">
      <c r="A432" s="439">
        <v>4</v>
      </c>
      <c r="B432" s="384"/>
      <c r="C432" s="441"/>
      <c r="D432" s="469"/>
      <c r="E432" s="441"/>
      <c r="F432" s="472"/>
      <c r="G432" s="210" t="s">
        <v>268</v>
      </c>
      <c r="H432" s="939"/>
      <c r="I432" s="307"/>
      <c r="J432" s="157"/>
      <c r="K432" s="163"/>
      <c r="L432" s="57"/>
      <c r="M432" s="67"/>
    </row>
    <row r="433" spans="1:13" ht="12.75" hidden="1" customHeight="1" x14ac:dyDescent="0.2">
      <c r="A433" s="439">
        <v>4</v>
      </c>
      <c r="B433" s="384"/>
      <c r="C433" s="441"/>
      <c r="D433" s="469"/>
      <c r="E433" s="441"/>
      <c r="F433" s="472"/>
      <c r="G433" s="481" t="s">
        <v>497</v>
      </c>
      <c r="H433" s="941">
        <f>SUM(H381)</f>
        <v>117.5</v>
      </c>
      <c r="I433" s="307"/>
      <c r="J433" s="157"/>
      <c r="K433" s="163"/>
      <c r="L433" s="57"/>
      <c r="M433" s="67"/>
    </row>
    <row r="434" spans="1:13" ht="12.75" hidden="1" customHeight="1" x14ac:dyDescent="0.2">
      <c r="A434" s="378">
        <v>4</v>
      </c>
      <c r="B434" s="384"/>
      <c r="C434" s="441"/>
      <c r="D434" s="469"/>
      <c r="E434" s="441"/>
      <c r="F434" s="472"/>
      <c r="G434" s="481" t="s">
        <v>500</v>
      </c>
      <c r="H434" s="941">
        <f>H383</f>
        <v>15</v>
      </c>
      <c r="I434" s="307"/>
      <c r="J434" s="157"/>
      <c r="K434" s="163"/>
      <c r="L434" s="57"/>
      <c r="M434" s="67"/>
    </row>
    <row r="435" spans="1:13" ht="12.75" hidden="1" customHeight="1" x14ac:dyDescent="0.2">
      <c r="A435" s="439">
        <v>4</v>
      </c>
      <c r="B435" s="384"/>
      <c r="C435" s="441"/>
      <c r="D435" s="469"/>
      <c r="E435" s="441"/>
      <c r="F435" s="472"/>
      <c r="G435" s="481" t="s">
        <v>22</v>
      </c>
      <c r="H435" s="941"/>
      <c r="I435" s="307"/>
      <c r="J435" s="157"/>
      <c r="K435" s="163"/>
      <c r="L435" s="57"/>
      <c r="M435" s="67"/>
    </row>
    <row r="436" spans="1:13" ht="12.75" hidden="1" customHeight="1" x14ac:dyDescent="0.2">
      <c r="A436" s="439">
        <v>4</v>
      </c>
      <c r="B436" s="441"/>
      <c r="C436" s="441"/>
      <c r="D436" s="450"/>
      <c r="E436" s="441"/>
      <c r="F436" s="447"/>
      <c r="G436" s="378" t="s">
        <v>622</v>
      </c>
      <c r="H436" s="941"/>
      <c r="I436" s="307"/>
      <c r="J436" s="157"/>
      <c r="K436" s="163"/>
      <c r="L436" s="57"/>
      <c r="M436" s="67"/>
    </row>
    <row r="437" spans="1:13" ht="12.75" hidden="1" customHeight="1" x14ac:dyDescent="0.2">
      <c r="A437" s="378">
        <v>4</v>
      </c>
      <c r="B437" s="441"/>
      <c r="C437" s="441"/>
      <c r="D437" s="450"/>
      <c r="E437" s="441"/>
      <c r="F437" s="447"/>
      <c r="G437" s="210" t="s">
        <v>59</v>
      </c>
      <c r="H437" s="941">
        <f>H424+H386+H418+H415+H411+H409</f>
        <v>369.80000000000007</v>
      </c>
      <c r="I437" s="307"/>
      <c r="J437" s="157"/>
      <c r="K437" s="163"/>
      <c r="L437" s="57"/>
      <c r="M437" s="67"/>
    </row>
    <row r="438" spans="1:13" ht="12.75" hidden="1" customHeight="1" x14ac:dyDescent="0.2">
      <c r="A438" s="439">
        <v>4</v>
      </c>
      <c r="B438" s="441"/>
      <c r="C438" s="441"/>
      <c r="D438" s="450"/>
      <c r="E438" s="441"/>
      <c r="F438" s="447"/>
      <c r="G438" s="210" t="s">
        <v>56</v>
      </c>
      <c r="H438" s="941">
        <f>SUM(H417,H414,H408,H385,H421,H423,H410)</f>
        <v>2148</v>
      </c>
      <c r="I438" s="307"/>
      <c r="J438" s="157"/>
      <c r="K438" s="163"/>
      <c r="L438" s="57"/>
      <c r="M438" s="67"/>
    </row>
    <row r="439" spans="1:13" ht="12.75" hidden="1" customHeight="1" x14ac:dyDescent="0.2">
      <c r="A439" s="378">
        <v>4</v>
      </c>
      <c r="B439" s="441"/>
      <c r="C439" s="441"/>
      <c r="D439" s="450"/>
      <c r="E439" s="441"/>
      <c r="F439" s="447"/>
      <c r="G439" s="210" t="s">
        <v>249</v>
      </c>
      <c r="H439" s="941"/>
      <c r="I439" s="307"/>
      <c r="J439" s="157"/>
      <c r="K439" s="163"/>
      <c r="L439" s="57"/>
      <c r="M439" s="67"/>
    </row>
    <row r="440" spans="1:13" ht="12.75" hidden="1" customHeight="1" x14ac:dyDescent="0.2">
      <c r="A440" s="439">
        <v>4</v>
      </c>
      <c r="B440" s="441"/>
      <c r="C440" s="441"/>
      <c r="D440" s="450"/>
      <c r="E440" s="441"/>
      <c r="F440" s="447"/>
      <c r="G440" s="210" t="s">
        <v>177</v>
      </c>
      <c r="H440" s="941"/>
      <c r="I440" s="307"/>
      <c r="J440" s="157"/>
      <c r="K440" s="163"/>
      <c r="L440" s="57"/>
      <c r="M440" s="67"/>
    </row>
    <row r="441" spans="1:13" ht="12.75" hidden="1" customHeight="1" x14ac:dyDescent="0.2">
      <c r="A441" s="378">
        <v>4</v>
      </c>
      <c r="B441" s="441"/>
      <c r="C441" s="441"/>
      <c r="D441" s="450"/>
      <c r="E441" s="441"/>
      <c r="F441" s="447"/>
      <c r="G441" s="210" t="s">
        <v>176</v>
      </c>
      <c r="H441" s="211">
        <f>H413</f>
        <v>233.4</v>
      </c>
      <c r="I441" s="307"/>
      <c r="J441" s="157"/>
      <c r="K441" s="163"/>
      <c r="L441" s="57"/>
      <c r="M441" s="67"/>
    </row>
    <row r="442" spans="1:13" ht="12.75" hidden="1" customHeight="1" x14ac:dyDescent="0.2">
      <c r="A442" s="439">
        <v>4</v>
      </c>
      <c r="B442" s="441"/>
      <c r="C442" s="441"/>
      <c r="D442" s="450"/>
      <c r="E442" s="441"/>
      <c r="F442" s="447"/>
      <c r="G442" s="299" t="s">
        <v>247</v>
      </c>
      <c r="H442" s="299">
        <f>SUM(H430:H441)</f>
        <v>4224.2</v>
      </c>
      <c r="I442" s="307"/>
      <c r="J442" s="157"/>
      <c r="K442" s="163"/>
      <c r="L442" s="57"/>
      <c r="M442" s="67"/>
    </row>
    <row r="443" spans="1:13" ht="12.75" hidden="1" customHeight="1" x14ac:dyDescent="0.2">
      <c r="A443" s="439">
        <v>4</v>
      </c>
      <c r="B443" s="441"/>
      <c r="C443" s="441"/>
      <c r="D443" s="450"/>
      <c r="E443" s="441"/>
      <c r="F443" s="447"/>
      <c r="G443" s="382"/>
      <c r="H443" s="211">
        <f>H429-H442</f>
        <v>0</v>
      </c>
      <c r="I443" s="307"/>
      <c r="J443" s="157"/>
      <c r="K443" s="163"/>
      <c r="L443" s="57"/>
      <c r="M443" s="67"/>
    </row>
    <row r="444" spans="1:13" ht="12.75" customHeight="1" x14ac:dyDescent="0.2">
      <c r="A444" s="934"/>
      <c r="B444" s="934"/>
      <c r="C444" s="934"/>
      <c r="D444" s="934" t="s">
        <v>2021</v>
      </c>
      <c r="E444" s="935"/>
      <c r="F444" s="934"/>
      <c r="G444" s="934"/>
      <c r="H444" s="934"/>
      <c r="I444" s="934"/>
      <c r="J444" s="934"/>
      <c r="K444" s="934"/>
      <c r="L444" s="934"/>
      <c r="M444" s="936"/>
    </row>
    <row r="445" spans="1:13" ht="22.5" x14ac:dyDescent="0.2">
      <c r="A445" s="378">
        <v>5</v>
      </c>
      <c r="B445" s="482"/>
      <c r="C445" s="482"/>
      <c r="D445" s="304" t="s">
        <v>685</v>
      </c>
      <c r="E445" s="305"/>
      <c r="F445" s="306"/>
      <c r="G445" s="305"/>
      <c r="H445" s="305"/>
      <c r="I445" s="307"/>
      <c r="J445" s="157"/>
      <c r="K445" s="163"/>
      <c r="L445" s="57"/>
      <c r="M445" s="66"/>
    </row>
    <row r="446" spans="1:13" ht="22.5" x14ac:dyDescent="0.2">
      <c r="A446" s="210">
        <v>5</v>
      </c>
      <c r="B446" s="483" t="s">
        <v>686</v>
      </c>
      <c r="C446" s="483" t="s">
        <v>686</v>
      </c>
      <c r="D446" s="484" t="s">
        <v>687</v>
      </c>
      <c r="E446" s="274"/>
      <c r="F446" s="210"/>
      <c r="G446" s="207"/>
      <c r="H446" s="207">
        <f>SUM(H449,H451,H456,H461,H465,H467,H453)</f>
        <v>39293.300000000003</v>
      </c>
      <c r="I446" s="307"/>
      <c r="J446" s="157"/>
      <c r="K446" s="163"/>
      <c r="L446" s="57"/>
      <c r="M446" s="55"/>
    </row>
    <row r="447" spans="1:13" x14ac:dyDescent="0.2">
      <c r="A447" s="210">
        <v>5</v>
      </c>
      <c r="B447" s="215"/>
      <c r="C447" s="215" t="s">
        <v>688</v>
      </c>
      <c r="D447" s="209" t="s">
        <v>689</v>
      </c>
      <c r="E447" s="210">
        <v>7</v>
      </c>
      <c r="F447" s="210" t="s">
        <v>690</v>
      </c>
      <c r="G447" s="210" t="s">
        <v>175</v>
      </c>
      <c r="H447" s="219">
        <v>27818.400000000001</v>
      </c>
      <c r="I447" s="307"/>
      <c r="J447" s="181" t="s">
        <v>691</v>
      </c>
      <c r="K447" s="181" t="s">
        <v>331</v>
      </c>
      <c r="L447" s="57">
        <v>100</v>
      </c>
      <c r="M447" s="71"/>
    </row>
    <row r="448" spans="1:13" x14ac:dyDescent="0.2">
      <c r="A448" s="210">
        <v>5</v>
      </c>
      <c r="B448" s="215"/>
      <c r="C448" s="215"/>
      <c r="D448" s="209"/>
      <c r="E448" s="210">
        <v>7</v>
      </c>
      <c r="F448" s="210" t="s">
        <v>690</v>
      </c>
      <c r="G448" s="210" t="s">
        <v>692</v>
      </c>
      <c r="H448" s="219">
        <v>150</v>
      </c>
      <c r="I448" s="307"/>
      <c r="J448" s="181" t="s">
        <v>2110</v>
      </c>
      <c r="K448" s="181" t="s">
        <v>693</v>
      </c>
      <c r="L448" s="57">
        <v>10</v>
      </c>
      <c r="M448" s="71"/>
    </row>
    <row r="449" spans="1:13" x14ac:dyDescent="0.2">
      <c r="A449" s="210">
        <v>5</v>
      </c>
      <c r="B449" s="215"/>
      <c r="C449" s="215"/>
      <c r="D449" s="209"/>
      <c r="E449" s="210"/>
      <c r="F449" s="210" t="s">
        <v>690</v>
      </c>
      <c r="G449" s="312" t="s">
        <v>247</v>
      </c>
      <c r="H449" s="220">
        <f>SUM(H447:H448)</f>
        <v>27968.400000000001</v>
      </c>
      <c r="I449" s="307"/>
      <c r="J449" s="181"/>
      <c r="K449" s="181"/>
      <c r="L449" s="57"/>
      <c r="M449" s="71"/>
    </row>
    <row r="450" spans="1:13" ht="25.9" customHeight="1" x14ac:dyDescent="0.2">
      <c r="A450" s="210">
        <v>5</v>
      </c>
      <c r="B450" s="215"/>
      <c r="C450" s="215" t="s">
        <v>694</v>
      </c>
      <c r="D450" s="209" t="s">
        <v>695</v>
      </c>
      <c r="E450" s="210">
        <v>7</v>
      </c>
      <c r="F450" s="210" t="s">
        <v>696</v>
      </c>
      <c r="G450" s="210" t="s">
        <v>19</v>
      </c>
      <c r="H450" s="219">
        <f>319-11+10+30</f>
        <v>348</v>
      </c>
      <c r="I450" s="311" t="s">
        <v>64</v>
      </c>
      <c r="J450" s="912" t="s">
        <v>2111</v>
      </c>
      <c r="K450" s="181" t="s">
        <v>697</v>
      </c>
      <c r="L450" s="57">
        <v>800</v>
      </c>
      <c r="M450" s="71"/>
    </row>
    <row r="451" spans="1:13" ht="22.5" x14ac:dyDescent="0.2">
      <c r="A451" s="378">
        <v>5</v>
      </c>
      <c r="B451" s="215"/>
      <c r="C451" s="215"/>
      <c r="D451" s="209"/>
      <c r="E451" s="210"/>
      <c r="F451" s="210" t="s">
        <v>696</v>
      </c>
      <c r="G451" s="312" t="s">
        <v>247</v>
      </c>
      <c r="H451" s="220">
        <f>SUM(H450)</f>
        <v>348</v>
      </c>
      <c r="I451" s="307"/>
      <c r="J451" s="912" t="s">
        <v>2111</v>
      </c>
      <c r="K451" s="181" t="s">
        <v>698</v>
      </c>
      <c r="L451" s="57">
        <v>25</v>
      </c>
      <c r="M451" s="71"/>
    </row>
    <row r="452" spans="1:13" ht="22.5" x14ac:dyDescent="0.2">
      <c r="A452" s="210">
        <v>5</v>
      </c>
      <c r="B452" s="215"/>
      <c r="C452" s="215" t="s">
        <v>699</v>
      </c>
      <c r="D452" s="209" t="s">
        <v>700</v>
      </c>
      <c r="E452" s="210">
        <v>7</v>
      </c>
      <c r="F452" s="210" t="s">
        <v>701</v>
      </c>
      <c r="G452" s="210" t="s">
        <v>19</v>
      </c>
      <c r="H452" s="219">
        <f>240-10</f>
        <v>230</v>
      </c>
      <c r="I452" s="307" t="s">
        <v>64</v>
      </c>
      <c r="J452" s="912" t="s">
        <v>2111</v>
      </c>
      <c r="K452" s="181" t="s">
        <v>702</v>
      </c>
      <c r="L452" s="57">
        <v>85</v>
      </c>
      <c r="M452" s="71"/>
    </row>
    <row r="453" spans="1:13" x14ac:dyDescent="0.2">
      <c r="A453" s="210">
        <v>5</v>
      </c>
      <c r="B453" s="215"/>
      <c r="C453" s="215"/>
      <c r="D453" s="209"/>
      <c r="E453" s="210"/>
      <c r="F453" s="214"/>
      <c r="G453" s="312" t="s">
        <v>247</v>
      </c>
      <c r="H453" s="220">
        <f>SUM(H452)</f>
        <v>230</v>
      </c>
      <c r="I453" s="307"/>
      <c r="J453" s="181"/>
      <c r="K453" s="181"/>
      <c r="L453" s="57"/>
      <c r="M453" s="71"/>
    </row>
    <row r="454" spans="1:13" ht="33.75" x14ac:dyDescent="0.2">
      <c r="A454" s="210">
        <v>5</v>
      </c>
      <c r="B454" s="215"/>
      <c r="C454" s="215" t="s">
        <v>703</v>
      </c>
      <c r="D454" s="225" t="s">
        <v>704</v>
      </c>
      <c r="E454" s="210">
        <v>7</v>
      </c>
      <c r="F454" s="210" t="s">
        <v>705</v>
      </c>
      <c r="G454" s="210" t="s">
        <v>175</v>
      </c>
      <c r="H454" s="219">
        <v>6703.8</v>
      </c>
      <c r="I454" s="307"/>
      <c r="J454" s="181" t="s">
        <v>2112</v>
      </c>
      <c r="K454" s="181" t="s">
        <v>706</v>
      </c>
      <c r="L454" s="57">
        <v>100</v>
      </c>
      <c r="M454" s="71"/>
    </row>
    <row r="455" spans="1:13" x14ac:dyDescent="0.2">
      <c r="A455" s="210">
        <v>5</v>
      </c>
      <c r="B455" s="215"/>
      <c r="C455" s="215"/>
      <c r="D455" s="209"/>
      <c r="E455" s="210">
        <v>7</v>
      </c>
      <c r="F455" s="210" t="s">
        <v>705</v>
      </c>
      <c r="G455" s="210" t="s">
        <v>692</v>
      </c>
      <c r="H455" s="219"/>
      <c r="I455" s="307"/>
      <c r="J455" s="181" t="s">
        <v>2113</v>
      </c>
      <c r="K455" s="181" t="s">
        <v>693</v>
      </c>
      <c r="L455" s="57">
        <v>10</v>
      </c>
      <c r="M455" s="71"/>
    </row>
    <row r="456" spans="1:13" x14ac:dyDescent="0.2">
      <c r="A456" s="210">
        <v>5</v>
      </c>
      <c r="B456" s="215"/>
      <c r="C456" s="215"/>
      <c r="D456" s="209"/>
      <c r="E456" s="210"/>
      <c r="F456" s="210" t="s">
        <v>705</v>
      </c>
      <c r="G456" s="312" t="s">
        <v>247</v>
      </c>
      <c r="H456" s="220">
        <f>SUM(H454:H455)</f>
        <v>6703.8</v>
      </c>
      <c r="I456" s="307"/>
      <c r="J456" s="181" t="s">
        <v>2114</v>
      </c>
      <c r="K456" s="181"/>
      <c r="L456" s="57"/>
      <c r="M456" s="71"/>
    </row>
    <row r="457" spans="1:13" ht="45" x14ac:dyDescent="0.2">
      <c r="A457" s="378">
        <v>5</v>
      </c>
      <c r="B457" s="215"/>
      <c r="C457" s="215" t="s">
        <v>707</v>
      </c>
      <c r="D457" s="209" t="s">
        <v>708</v>
      </c>
      <c r="E457" s="210">
        <v>7</v>
      </c>
      <c r="F457" s="210" t="s">
        <v>709</v>
      </c>
      <c r="G457" s="210" t="s">
        <v>21</v>
      </c>
      <c r="H457" s="219"/>
      <c r="I457" s="307"/>
      <c r="J457" s="181" t="s">
        <v>2110</v>
      </c>
      <c r="K457" s="181" t="s">
        <v>710</v>
      </c>
      <c r="L457" s="57">
        <v>100</v>
      </c>
      <c r="M457" s="71"/>
    </row>
    <row r="458" spans="1:13" ht="22.15" customHeight="1" x14ac:dyDescent="0.2">
      <c r="A458" s="210">
        <v>5</v>
      </c>
      <c r="B458" s="215"/>
      <c r="C458" s="215"/>
      <c r="D458" s="209"/>
      <c r="E458" s="210">
        <v>7</v>
      </c>
      <c r="F458" s="210" t="s">
        <v>709</v>
      </c>
      <c r="G458" s="210" t="s">
        <v>268</v>
      </c>
      <c r="H458" s="219">
        <v>403.8</v>
      </c>
      <c r="I458" s="307"/>
      <c r="J458" s="181" t="s">
        <v>2115</v>
      </c>
      <c r="K458" s="181" t="s">
        <v>693</v>
      </c>
      <c r="L458" s="57">
        <v>10</v>
      </c>
      <c r="M458" s="71"/>
    </row>
    <row r="459" spans="1:13" x14ac:dyDescent="0.2">
      <c r="A459" s="210">
        <v>5</v>
      </c>
      <c r="B459" s="215"/>
      <c r="C459" s="215"/>
      <c r="D459" s="209"/>
      <c r="E459" s="210">
        <v>7</v>
      </c>
      <c r="F459" s="210" t="s">
        <v>709</v>
      </c>
      <c r="G459" s="210" t="s">
        <v>23</v>
      </c>
      <c r="H459" s="219">
        <v>13</v>
      </c>
      <c r="I459" s="307"/>
      <c r="J459" s="181" t="s">
        <v>2116</v>
      </c>
      <c r="K459" s="181"/>
      <c r="L459" s="913"/>
      <c r="M459" s="71"/>
    </row>
    <row r="460" spans="1:13" x14ac:dyDescent="0.2">
      <c r="A460" s="210">
        <v>5</v>
      </c>
      <c r="B460" s="215"/>
      <c r="C460" s="215"/>
      <c r="D460" s="209"/>
      <c r="E460" s="210">
        <v>7</v>
      </c>
      <c r="F460" s="210" t="s">
        <v>709</v>
      </c>
      <c r="G460" s="210" t="s">
        <v>19</v>
      </c>
      <c r="H460" s="219">
        <f>2226.1-220</f>
        <v>2006.1</v>
      </c>
      <c r="I460" s="307" t="s">
        <v>49</v>
      </c>
      <c r="J460" s="181" t="s">
        <v>2117</v>
      </c>
      <c r="K460" s="181"/>
      <c r="L460" s="913"/>
      <c r="M460" s="71"/>
    </row>
    <row r="461" spans="1:13" ht="22.5" x14ac:dyDescent="0.2">
      <c r="A461" s="210">
        <v>5</v>
      </c>
      <c r="B461" s="215"/>
      <c r="C461" s="215"/>
      <c r="D461" s="209"/>
      <c r="E461" s="210"/>
      <c r="F461" s="210"/>
      <c r="G461" s="312" t="s">
        <v>247</v>
      </c>
      <c r="H461" s="220">
        <f>SUM(H457:H460)</f>
        <v>2422.9</v>
      </c>
      <c r="I461" s="307"/>
      <c r="J461" s="912" t="s">
        <v>2111</v>
      </c>
      <c r="K461" s="181"/>
      <c r="L461" s="913"/>
      <c r="M461" s="71"/>
    </row>
    <row r="462" spans="1:13" ht="22.9" customHeight="1" x14ac:dyDescent="0.2">
      <c r="A462" s="210">
        <v>5</v>
      </c>
      <c r="B462" s="215"/>
      <c r="C462" s="215" t="s">
        <v>711</v>
      </c>
      <c r="D462" s="209" t="s">
        <v>712</v>
      </c>
      <c r="E462" s="210">
        <v>7</v>
      </c>
      <c r="F462" s="210" t="s">
        <v>713</v>
      </c>
      <c r="G462" s="210" t="s">
        <v>21</v>
      </c>
      <c r="H462" s="219"/>
      <c r="I462" s="307"/>
      <c r="J462" s="181"/>
      <c r="K462" s="181"/>
      <c r="L462" s="913"/>
      <c r="M462" s="71"/>
    </row>
    <row r="463" spans="1:13" ht="22.5" x14ac:dyDescent="0.2">
      <c r="A463" s="378">
        <v>5</v>
      </c>
      <c r="B463" s="215"/>
      <c r="C463" s="215"/>
      <c r="D463" s="209"/>
      <c r="E463" s="210">
        <v>7</v>
      </c>
      <c r="F463" s="210" t="s">
        <v>713</v>
      </c>
      <c r="G463" s="210" t="s">
        <v>268</v>
      </c>
      <c r="H463" s="219">
        <v>1617</v>
      </c>
      <c r="I463" s="307"/>
      <c r="J463" s="912" t="s">
        <v>2111</v>
      </c>
      <c r="K463" s="181" t="s">
        <v>702</v>
      </c>
      <c r="L463" s="57">
        <v>3000</v>
      </c>
      <c r="M463" s="71"/>
    </row>
    <row r="464" spans="1:13" ht="22.5" x14ac:dyDescent="0.2">
      <c r="A464" s="210">
        <v>5</v>
      </c>
      <c r="B464" s="215"/>
      <c r="C464" s="215"/>
      <c r="D464" s="209"/>
      <c r="E464" s="210">
        <v>7</v>
      </c>
      <c r="F464" s="210" t="s">
        <v>713</v>
      </c>
      <c r="G464" s="210" t="s">
        <v>23</v>
      </c>
      <c r="H464" s="219">
        <v>2.2000000000000002</v>
      </c>
      <c r="I464" s="307"/>
      <c r="J464" s="912" t="s">
        <v>2111</v>
      </c>
      <c r="K464" s="181" t="s">
        <v>714</v>
      </c>
      <c r="L464" s="57">
        <v>12</v>
      </c>
      <c r="M464" s="71"/>
    </row>
    <row r="465" spans="1:13" x14ac:dyDescent="0.2">
      <c r="A465" s="210">
        <v>5</v>
      </c>
      <c r="B465" s="215"/>
      <c r="C465" s="215"/>
      <c r="D465" s="209"/>
      <c r="E465" s="210"/>
      <c r="F465" s="210" t="s">
        <v>715</v>
      </c>
      <c r="G465" s="312" t="s">
        <v>247</v>
      </c>
      <c r="H465" s="220">
        <f>SUM(H462:H464)</f>
        <v>1619.2</v>
      </c>
      <c r="I465" s="307"/>
      <c r="J465" s="181"/>
      <c r="K465" s="181"/>
      <c r="L465" s="57"/>
      <c r="M465" s="71"/>
    </row>
    <row r="466" spans="1:13" ht="45" x14ac:dyDescent="0.2">
      <c r="A466" s="210">
        <v>5</v>
      </c>
      <c r="B466" s="215"/>
      <c r="C466" s="215" t="s">
        <v>716</v>
      </c>
      <c r="D466" s="209" t="s">
        <v>717</v>
      </c>
      <c r="E466" s="210">
        <v>7</v>
      </c>
      <c r="F466" s="210" t="s">
        <v>718</v>
      </c>
      <c r="G466" s="210" t="s">
        <v>23</v>
      </c>
      <c r="H466" s="219">
        <f>1</f>
        <v>1</v>
      </c>
      <c r="I466" s="307"/>
      <c r="J466" s="181" t="s">
        <v>2118</v>
      </c>
      <c r="K466" s="914" t="s">
        <v>702</v>
      </c>
      <c r="L466" s="57">
        <v>40</v>
      </c>
      <c r="M466" s="71"/>
    </row>
    <row r="467" spans="1:13" x14ac:dyDescent="0.2">
      <c r="A467" s="210">
        <v>5</v>
      </c>
      <c r="B467" s="215"/>
      <c r="C467" s="215"/>
      <c r="D467" s="209"/>
      <c r="E467" s="210">
        <v>7</v>
      </c>
      <c r="F467" s="210" t="s">
        <v>718</v>
      </c>
      <c r="G467" s="312" t="s">
        <v>247</v>
      </c>
      <c r="H467" s="220">
        <f>SUM(H466)</f>
        <v>1</v>
      </c>
      <c r="I467" s="307"/>
      <c r="J467" s="181"/>
      <c r="K467" s="181"/>
      <c r="L467" s="57"/>
      <c r="M467" s="71"/>
    </row>
    <row r="468" spans="1:13" ht="24" customHeight="1" x14ac:dyDescent="0.2">
      <c r="A468" s="210">
        <v>5</v>
      </c>
      <c r="B468" s="483" t="s">
        <v>719</v>
      </c>
      <c r="C468" s="483" t="s">
        <v>719</v>
      </c>
      <c r="D468" s="484" t="s">
        <v>720</v>
      </c>
      <c r="E468" s="274"/>
      <c r="F468" s="210"/>
      <c r="G468" s="485"/>
      <c r="H468" s="207">
        <f>SUM(H470,H473,H476,H479)</f>
        <v>237.6</v>
      </c>
      <c r="I468" s="307"/>
      <c r="J468" s="181"/>
      <c r="K468" s="181"/>
      <c r="L468" s="57"/>
      <c r="M468" s="71"/>
    </row>
    <row r="469" spans="1:13" ht="33.75" x14ac:dyDescent="0.2">
      <c r="A469" s="378">
        <v>5</v>
      </c>
      <c r="B469" s="215"/>
      <c r="C469" s="215" t="s">
        <v>721</v>
      </c>
      <c r="D469" s="209" t="s">
        <v>722</v>
      </c>
      <c r="E469" s="210">
        <v>7</v>
      </c>
      <c r="F469" s="210" t="s">
        <v>723</v>
      </c>
      <c r="G469" s="210" t="s">
        <v>19</v>
      </c>
      <c r="H469" s="219">
        <v>12</v>
      </c>
      <c r="I469" s="311" t="s">
        <v>49</v>
      </c>
      <c r="J469" s="181" t="s">
        <v>2118</v>
      </c>
      <c r="K469" s="914" t="s">
        <v>702</v>
      </c>
      <c r="L469" s="57">
        <v>2500</v>
      </c>
      <c r="M469" s="71"/>
    </row>
    <row r="470" spans="1:13" x14ac:dyDescent="0.2">
      <c r="A470" s="210">
        <v>5</v>
      </c>
      <c r="B470" s="215"/>
      <c r="C470" s="215"/>
      <c r="D470" s="209"/>
      <c r="E470" s="210"/>
      <c r="F470" s="210" t="s">
        <v>723</v>
      </c>
      <c r="G470" s="312" t="s">
        <v>247</v>
      </c>
      <c r="H470" s="220">
        <f>SUM(H469)</f>
        <v>12</v>
      </c>
      <c r="I470" s="307"/>
      <c r="J470" s="181"/>
      <c r="K470" s="68"/>
      <c r="L470" s="57"/>
      <c r="M470" s="71"/>
    </row>
    <row r="471" spans="1:13" x14ac:dyDescent="0.2">
      <c r="A471" s="210">
        <v>5</v>
      </c>
      <c r="B471" s="215"/>
      <c r="C471" s="215" t="s">
        <v>724</v>
      </c>
      <c r="D471" s="209" t="s">
        <v>725</v>
      </c>
      <c r="E471" s="210">
        <v>7</v>
      </c>
      <c r="F471" s="210" t="s">
        <v>726</v>
      </c>
      <c r="G471" s="210" t="s">
        <v>19</v>
      </c>
      <c r="H471" s="219">
        <f>32+10</f>
        <v>42</v>
      </c>
      <c r="I471" s="307" t="s">
        <v>64</v>
      </c>
      <c r="J471" s="181" t="s">
        <v>2119</v>
      </c>
      <c r="K471" s="181" t="s">
        <v>727</v>
      </c>
      <c r="L471" s="57">
        <v>37</v>
      </c>
      <c r="M471" s="71"/>
    </row>
    <row r="472" spans="1:13" ht="22.5" x14ac:dyDescent="0.2">
      <c r="A472" s="210">
        <v>5</v>
      </c>
      <c r="B472" s="215"/>
      <c r="C472" s="215"/>
      <c r="D472" s="209"/>
      <c r="E472" s="210">
        <v>7</v>
      </c>
      <c r="F472" s="210" t="s">
        <v>726</v>
      </c>
      <c r="G472" s="210" t="s">
        <v>21</v>
      </c>
      <c r="H472" s="219">
        <f>40+55.9</f>
        <v>95.9</v>
      </c>
      <c r="I472" s="307"/>
      <c r="J472" s="181" t="s">
        <v>2119</v>
      </c>
      <c r="K472" s="181" t="s">
        <v>728</v>
      </c>
      <c r="L472" s="57">
        <v>37</v>
      </c>
      <c r="M472" s="71"/>
    </row>
    <row r="473" spans="1:13" x14ac:dyDescent="0.2">
      <c r="A473" s="210">
        <v>5</v>
      </c>
      <c r="B473" s="215"/>
      <c r="C473" s="215"/>
      <c r="D473" s="209"/>
      <c r="E473" s="210"/>
      <c r="F473" s="210" t="s">
        <v>726</v>
      </c>
      <c r="G473" s="312" t="s">
        <v>247</v>
      </c>
      <c r="H473" s="220">
        <f>SUM(H471:H472)</f>
        <v>137.9</v>
      </c>
      <c r="I473" s="307"/>
      <c r="J473" s="181"/>
      <c r="K473" s="181"/>
      <c r="L473" s="57"/>
      <c r="M473" s="71"/>
    </row>
    <row r="474" spans="1:13" ht="22.5" x14ac:dyDescent="0.2">
      <c r="A474" s="210">
        <v>5</v>
      </c>
      <c r="B474" s="215"/>
      <c r="C474" s="215" t="s">
        <v>729</v>
      </c>
      <c r="D474" s="209" t="s">
        <v>730</v>
      </c>
      <c r="E474" s="210">
        <v>7</v>
      </c>
      <c r="F474" s="210" t="s">
        <v>731</v>
      </c>
      <c r="G474" s="210" t="s">
        <v>21</v>
      </c>
      <c r="H474" s="219"/>
      <c r="I474" s="307"/>
      <c r="J474" s="181" t="s">
        <v>2120</v>
      </c>
      <c r="K474" s="181" t="s">
        <v>732</v>
      </c>
      <c r="L474" s="57">
        <v>100</v>
      </c>
      <c r="M474" s="71"/>
    </row>
    <row r="475" spans="1:13" x14ac:dyDescent="0.2">
      <c r="A475" s="378">
        <v>5</v>
      </c>
      <c r="B475" s="215"/>
      <c r="C475" s="215"/>
      <c r="D475" s="209"/>
      <c r="E475" s="210">
        <v>7</v>
      </c>
      <c r="F475" s="210" t="s">
        <v>731</v>
      </c>
      <c r="G475" s="210" t="s">
        <v>268</v>
      </c>
      <c r="H475" s="219">
        <v>3.7</v>
      </c>
      <c r="I475" s="307"/>
      <c r="J475" s="173"/>
      <c r="K475" s="173"/>
      <c r="L475" s="913"/>
      <c r="M475" s="184"/>
    </row>
    <row r="476" spans="1:13" x14ac:dyDescent="0.2">
      <c r="A476" s="210">
        <v>5</v>
      </c>
      <c r="B476" s="215"/>
      <c r="C476" s="215"/>
      <c r="D476" s="209"/>
      <c r="E476" s="210"/>
      <c r="F476" s="210" t="s">
        <v>731</v>
      </c>
      <c r="G476" s="312" t="s">
        <v>247</v>
      </c>
      <c r="H476" s="220">
        <f>SUM(H474:H475)</f>
        <v>3.7</v>
      </c>
      <c r="I476" s="307"/>
      <c r="J476" s="155"/>
      <c r="K476" s="161"/>
      <c r="L476" s="45"/>
      <c r="M476" s="184"/>
    </row>
    <row r="477" spans="1:13" x14ac:dyDescent="0.2">
      <c r="A477" s="210">
        <v>5</v>
      </c>
      <c r="B477" s="215"/>
      <c r="C477" s="215" t="s">
        <v>733</v>
      </c>
      <c r="D477" s="209" t="s">
        <v>734</v>
      </c>
      <c r="E477" s="210">
        <v>7</v>
      </c>
      <c r="F477" s="210" t="s">
        <v>735</v>
      </c>
      <c r="G477" s="210" t="s">
        <v>21</v>
      </c>
      <c r="H477" s="219">
        <v>54</v>
      </c>
      <c r="I477" s="307"/>
      <c r="J477" s="181" t="s">
        <v>1758</v>
      </c>
      <c r="K477" s="914" t="s">
        <v>702</v>
      </c>
      <c r="L477" s="913">
        <v>52</v>
      </c>
      <c r="M477" s="71"/>
    </row>
    <row r="478" spans="1:13" x14ac:dyDescent="0.2">
      <c r="A478" s="210">
        <v>5</v>
      </c>
      <c r="B478" s="215"/>
      <c r="C478" s="215"/>
      <c r="D478" s="209"/>
      <c r="E478" s="210">
        <v>7</v>
      </c>
      <c r="F478" s="210" t="s">
        <v>735</v>
      </c>
      <c r="G478" s="210" t="s">
        <v>19</v>
      </c>
      <c r="H478" s="219">
        <f>40-10</f>
        <v>30</v>
      </c>
      <c r="I478" s="307" t="s">
        <v>64</v>
      </c>
      <c r="J478" s="173"/>
      <c r="K478" s="173"/>
      <c r="L478" s="913"/>
      <c r="M478" s="71"/>
    </row>
    <row r="479" spans="1:13" x14ac:dyDescent="0.2">
      <c r="A479" s="210">
        <v>5</v>
      </c>
      <c r="B479" s="215"/>
      <c r="C479" s="215"/>
      <c r="D479" s="209"/>
      <c r="E479" s="210">
        <v>7</v>
      </c>
      <c r="F479" s="210" t="s">
        <v>735</v>
      </c>
      <c r="G479" s="312" t="s">
        <v>247</v>
      </c>
      <c r="H479" s="220">
        <f>SUM(H477:H478)</f>
        <v>84</v>
      </c>
      <c r="I479" s="307"/>
      <c r="J479" s="173"/>
      <c r="K479" s="173"/>
      <c r="L479" s="913"/>
      <c r="M479" s="71"/>
    </row>
    <row r="480" spans="1:13" ht="22.5" x14ac:dyDescent="0.2">
      <c r="A480" s="210">
        <v>5</v>
      </c>
      <c r="B480" s="486"/>
      <c r="C480" s="486"/>
      <c r="D480" s="315" t="s">
        <v>736</v>
      </c>
      <c r="E480" s="316"/>
      <c r="F480" s="317"/>
      <c r="G480" s="316"/>
      <c r="H480" s="316"/>
      <c r="I480" s="307"/>
      <c r="J480" s="173"/>
      <c r="K480" s="173"/>
      <c r="L480" s="913"/>
      <c r="M480" s="71"/>
    </row>
    <row r="481" spans="1:13" ht="22.5" x14ac:dyDescent="0.2">
      <c r="A481" s="378">
        <v>5</v>
      </c>
      <c r="B481" s="483" t="s">
        <v>737</v>
      </c>
      <c r="C481" s="483" t="s">
        <v>737</v>
      </c>
      <c r="D481" s="484" t="s">
        <v>738</v>
      </c>
      <c r="E481" s="274"/>
      <c r="F481" s="210"/>
      <c r="G481" s="382"/>
      <c r="H481" s="207"/>
      <c r="I481" s="307"/>
      <c r="J481" s="158"/>
      <c r="K481" s="173"/>
      <c r="L481" s="913"/>
      <c r="M481" s="71"/>
    </row>
    <row r="482" spans="1:13" ht="33.75" x14ac:dyDescent="0.2">
      <c r="A482" s="210">
        <v>5</v>
      </c>
      <c r="B482" s="215"/>
      <c r="C482" s="215" t="s">
        <v>743</v>
      </c>
      <c r="D482" s="488" t="s">
        <v>744</v>
      </c>
      <c r="E482" s="210">
        <v>18</v>
      </c>
      <c r="F482" s="210" t="s">
        <v>745</v>
      </c>
      <c r="G482" s="210" t="s">
        <v>19</v>
      </c>
      <c r="H482" s="219">
        <f>160-24.2-23.4+20</f>
        <v>132.4</v>
      </c>
      <c r="I482" s="307" t="s">
        <v>49</v>
      </c>
      <c r="J482" s="181" t="s">
        <v>2121</v>
      </c>
      <c r="K482" s="181" t="s">
        <v>746</v>
      </c>
      <c r="L482" s="57">
        <v>100</v>
      </c>
      <c r="M482" s="71"/>
    </row>
    <row r="483" spans="1:13" x14ac:dyDescent="0.2">
      <c r="A483" s="210">
        <v>5</v>
      </c>
      <c r="B483" s="215"/>
      <c r="C483" s="215"/>
      <c r="D483" s="488"/>
      <c r="E483" s="210"/>
      <c r="F483" s="210" t="s">
        <v>745</v>
      </c>
      <c r="G483" s="312" t="s">
        <v>247</v>
      </c>
      <c r="H483" s="220">
        <f>SUM(H482)</f>
        <v>132.4</v>
      </c>
      <c r="I483" s="307"/>
      <c r="J483" s="173"/>
      <c r="K483" s="173"/>
      <c r="L483" s="913"/>
      <c r="M483" s="71"/>
    </row>
    <row r="484" spans="1:13" ht="45" x14ac:dyDescent="0.2">
      <c r="A484" s="210">
        <v>5</v>
      </c>
      <c r="B484" s="215"/>
      <c r="C484" s="215" t="s">
        <v>747</v>
      </c>
      <c r="D484" s="209" t="s">
        <v>748</v>
      </c>
      <c r="E484" s="210">
        <v>7</v>
      </c>
      <c r="F484" s="210" t="s">
        <v>749</v>
      </c>
      <c r="G484" s="210" t="s">
        <v>19</v>
      </c>
      <c r="H484" s="219">
        <v>8</v>
      </c>
      <c r="I484" s="307"/>
      <c r="J484" s="163" t="s">
        <v>2122</v>
      </c>
      <c r="K484" s="181" t="s">
        <v>750</v>
      </c>
      <c r="L484" s="57">
        <v>100</v>
      </c>
      <c r="M484" s="71"/>
    </row>
    <row r="485" spans="1:13" x14ac:dyDescent="0.2">
      <c r="A485" s="210">
        <v>5</v>
      </c>
      <c r="B485" s="215"/>
      <c r="C485" s="215"/>
      <c r="D485" s="209"/>
      <c r="E485" s="210"/>
      <c r="F485" s="210" t="s">
        <v>749</v>
      </c>
      <c r="G485" s="312" t="s">
        <v>247</v>
      </c>
      <c r="H485" s="220">
        <f>SUM(H484:H484)</f>
        <v>8</v>
      </c>
      <c r="I485" s="307" t="s">
        <v>64</v>
      </c>
      <c r="J485" s="173"/>
      <c r="K485" s="173"/>
      <c r="L485" s="913"/>
      <c r="M485" s="184"/>
    </row>
    <row r="486" spans="1:13" ht="22.5" x14ac:dyDescent="0.2">
      <c r="A486" s="210">
        <v>5</v>
      </c>
      <c r="B486" s="483" t="s">
        <v>752</v>
      </c>
      <c r="C486" s="483" t="s">
        <v>752</v>
      </c>
      <c r="D486" s="484" t="s">
        <v>753</v>
      </c>
      <c r="E486" s="210"/>
      <c r="F486" s="210"/>
      <c r="G486" s="382"/>
      <c r="H486" s="207"/>
      <c r="I486" s="307"/>
      <c r="J486" s="173"/>
      <c r="K486" s="173"/>
      <c r="L486" s="913"/>
      <c r="M486" s="71"/>
    </row>
    <row r="487" spans="1:13" ht="56.25" x14ac:dyDescent="0.2">
      <c r="A487" s="378">
        <v>5</v>
      </c>
      <c r="B487" s="215"/>
      <c r="C487" s="215" t="s">
        <v>754</v>
      </c>
      <c r="D487" s="209" t="s">
        <v>755</v>
      </c>
      <c r="E487" s="210">
        <v>7</v>
      </c>
      <c r="F487" s="210" t="s">
        <v>756</v>
      </c>
      <c r="G487" s="210" t="s">
        <v>21</v>
      </c>
      <c r="H487" s="219"/>
      <c r="I487" s="307"/>
      <c r="J487" s="915" t="s">
        <v>2123</v>
      </c>
      <c r="K487" s="181" t="s">
        <v>757</v>
      </c>
      <c r="L487" s="57">
        <v>100</v>
      </c>
      <c r="M487" s="71"/>
    </row>
    <row r="488" spans="1:13" ht="45" x14ac:dyDescent="0.2">
      <c r="A488" s="210">
        <v>5</v>
      </c>
      <c r="B488" s="215"/>
      <c r="C488" s="215"/>
      <c r="D488" s="209"/>
      <c r="E488" s="210">
        <v>7</v>
      </c>
      <c r="F488" s="210" t="s">
        <v>756</v>
      </c>
      <c r="G488" s="210" t="s">
        <v>268</v>
      </c>
      <c r="H488" s="219">
        <v>1950</v>
      </c>
      <c r="I488" s="307"/>
      <c r="J488" s="181"/>
      <c r="K488" s="914" t="s">
        <v>758</v>
      </c>
      <c r="L488" s="57">
        <v>1174</v>
      </c>
      <c r="M488" s="71"/>
    </row>
    <row r="489" spans="1:13" ht="22.5" x14ac:dyDescent="0.2">
      <c r="A489" s="210">
        <v>5</v>
      </c>
      <c r="B489" s="215"/>
      <c r="C489" s="215"/>
      <c r="D489" s="209"/>
      <c r="E489" s="210">
        <v>7</v>
      </c>
      <c r="F489" s="210" t="s">
        <v>756</v>
      </c>
      <c r="G489" s="210" t="s">
        <v>19</v>
      </c>
      <c r="H489" s="219">
        <f>2200-12</f>
        <v>2188</v>
      </c>
      <c r="I489" s="307" t="s">
        <v>49</v>
      </c>
      <c r="J489" s="173"/>
      <c r="K489" s="914" t="s">
        <v>759</v>
      </c>
      <c r="L489" s="57">
        <v>100</v>
      </c>
      <c r="M489" s="71"/>
    </row>
    <row r="490" spans="1:13" x14ac:dyDescent="0.2">
      <c r="A490" s="210">
        <v>5</v>
      </c>
      <c r="B490" s="215"/>
      <c r="C490" s="215"/>
      <c r="D490" s="209"/>
      <c r="E490" s="210">
        <v>7</v>
      </c>
      <c r="F490" s="210" t="s">
        <v>756</v>
      </c>
      <c r="G490" s="214" t="s">
        <v>23</v>
      </c>
      <c r="H490" s="219">
        <v>2.4</v>
      </c>
      <c r="I490" s="307"/>
      <c r="J490" s="68"/>
      <c r="K490" s="161"/>
      <c r="L490" s="45"/>
      <c r="M490" s="71"/>
    </row>
    <row r="491" spans="1:13" x14ac:dyDescent="0.2">
      <c r="A491" s="210">
        <v>5</v>
      </c>
      <c r="B491" s="215"/>
      <c r="C491" s="215"/>
      <c r="D491" s="209"/>
      <c r="E491" s="210"/>
      <c r="F491" s="210" t="s">
        <v>756</v>
      </c>
      <c r="G491" s="312" t="s">
        <v>247</v>
      </c>
      <c r="H491" s="220">
        <f>SUM(H487:H490)</f>
        <v>4140.3999999999996</v>
      </c>
      <c r="I491" s="307"/>
      <c r="J491" s="155"/>
      <c r="K491" s="161"/>
      <c r="L491" s="45"/>
      <c r="M491" s="184"/>
    </row>
    <row r="492" spans="1:13" ht="33.75" x14ac:dyDescent="0.2">
      <c r="A492" s="210">
        <v>5</v>
      </c>
      <c r="B492" s="215"/>
      <c r="C492" s="215" t="s">
        <v>760</v>
      </c>
      <c r="D492" s="209" t="s">
        <v>761</v>
      </c>
      <c r="E492" s="210">
        <v>7</v>
      </c>
      <c r="F492" s="210" t="s">
        <v>762</v>
      </c>
      <c r="G492" s="210" t="s">
        <v>19</v>
      </c>
      <c r="H492" s="219">
        <v>40</v>
      </c>
      <c r="I492" s="311" t="s">
        <v>49</v>
      </c>
      <c r="J492" s="915" t="s">
        <v>1758</v>
      </c>
      <c r="K492" s="914" t="s">
        <v>763</v>
      </c>
      <c r="L492" s="57">
        <v>4</v>
      </c>
      <c r="M492" s="71"/>
    </row>
    <row r="493" spans="1:13" ht="45" x14ac:dyDescent="0.2">
      <c r="A493" s="378">
        <v>5</v>
      </c>
      <c r="B493" s="215"/>
      <c r="C493" s="215"/>
      <c r="D493" s="209"/>
      <c r="E493" s="210">
        <v>7</v>
      </c>
      <c r="F493" s="210" t="s">
        <v>762</v>
      </c>
      <c r="G493" s="210" t="s">
        <v>21</v>
      </c>
      <c r="H493" s="219">
        <v>41.6</v>
      </c>
      <c r="I493" s="307"/>
      <c r="J493" s="915" t="s">
        <v>1758</v>
      </c>
      <c r="K493" s="914" t="s">
        <v>764</v>
      </c>
      <c r="L493" s="57">
        <v>96</v>
      </c>
      <c r="M493" s="71"/>
    </row>
    <row r="494" spans="1:13" x14ac:dyDescent="0.2">
      <c r="A494" s="210">
        <v>5</v>
      </c>
      <c r="B494" s="215"/>
      <c r="C494" s="215"/>
      <c r="D494" s="209"/>
      <c r="E494" s="210"/>
      <c r="F494" s="210" t="s">
        <v>762</v>
      </c>
      <c r="G494" s="312" t="s">
        <v>247</v>
      </c>
      <c r="H494" s="220">
        <f>SUM(H492:H493)</f>
        <v>81.599999999999994</v>
      </c>
      <c r="I494" s="307"/>
      <c r="J494" s="915" t="s">
        <v>1758</v>
      </c>
      <c r="K494" s="914" t="s">
        <v>714</v>
      </c>
      <c r="L494" s="57">
        <v>4</v>
      </c>
      <c r="M494" s="184"/>
    </row>
    <row r="495" spans="1:13" ht="33.75" x14ac:dyDescent="0.2">
      <c r="A495" s="210">
        <v>5</v>
      </c>
      <c r="B495" s="215"/>
      <c r="C495" s="215" t="s">
        <v>765</v>
      </c>
      <c r="D495" s="209" t="s">
        <v>766</v>
      </c>
      <c r="E495" s="210">
        <v>7</v>
      </c>
      <c r="F495" s="210" t="s">
        <v>767</v>
      </c>
      <c r="G495" s="210" t="s">
        <v>19</v>
      </c>
      <c r="H495" s="219">
        <v>45</v>
      </c>
      <c r="I495" s="307" t="s">
        <v>49</v>
      </c>
      <c r="J495" s="915" t="s">
        <v>1758</v>
      </c>
      <c r="K495" s="181" t="s">
        <v>702</v>
      </c>
      <c r="L495" s="57">
        <v>521</v>
      </c>
      <c r="M495" s="71"/>
    </row>
    <row r="496" spans="1:13" x14ac:dyDescent="0.2">
      <c r="A496" s="210">
        <v>5</v>
      </c>
      <c r="B496" s="215"/>
      <c r="C496" s="215"/>
      <c r="D496" s="209"/>
      <c r="E496" s="210"/>
      <c r="F496" s="210" t="s">
        <v>767</v>
      </c>
      <c r="G496" s="312" t="s">
        <v>247</v>
      </c>
      <c r="H496" s="220">
        <f>SUM(H495)</f>
        <v>45</v>
      </c>
      <c r="I496" s="307"/>
      <c r="J496" s="155"/>
      <c r="K496" s="161"/>
      <c r="L496" s="45"/>
      <c r="M496" s="71"/>
    </row>
    <row r="497" spans="1:13" ht="22.5" x14ac:dyDescent="0.2">
      <c r="A497" s="210">
        <v>5</v>
      </c>
      <c r="B497" s="215"/>
      <c r="C497" s="215" t="s">
        <v>768</v>
      </c>
      <c r="D497" s="209" t="s">
        <v>769</v>
      </c>
      <c r="E497" s="210">
        <v>7</v>
      </c>
      <c r="F497" s="210" t="s">
        <v>770</v>
      </c>
      <c r="G497" s="210" t="s">
        <v>19</v>
      </c>
      <c r="H497" s="219">
        <v>2</v>
      </c>
      <c r="I497" s="307" t="s">
        <v>49</v>
      </c>
      <c r="J497" s="915" t="s">
        <v>1758</v>
      </c>
      <c r="K497" s="914" t="s">
        <v>367</v>
      </c>
      <c r="L497" s="916">
        <v>100</v>
      </c>
      <c r="M497" s="71"/>
    </row>
    <row r="498" spans="1:13" x14ac:dyDescent="0.2">
      <c r="A498" s="210">
        <v>5</v>
      </c>
      <c r="B498" s="215"/>
      <c r="C498" s="215"/>
      <c r="D498" s="209"/>
      <c r="E498" s="210"/>
      <c r="F498" s="210" t="s">
        <v>770</v>
      </c>
      <c r="G498" s="312" t="s">
        <v>247</v>
      </c>
      <c r="H498" s="220">
        <f>SUM(H497)</f>
        <v>2</v>
      </c>
      <c r="I498" s="307"/>
      <c r="J498" s="155"/>
      <c r="K498" s="161"/>
      <c r="L498" s="45"/>
      <c r="M498" s="184"/>
    </row>
    <row r="499" spans="1:13" ht="22.5" x14ac:dyDescent="0.2">
      <c r="A499" s="378">
        <v>5</v>
      </c>
      <c r="B499" s="215"/>
      <c r="C499" s="215" t="s">
        <v>771</v>
      </c>
      <c r="D499" s="209" t="s">
        <v>772</v>
      </c>
      <c r="E499" s="210">
        <v>7</v>
      </c>
      <c r="F499" s="210" t="s">
        <v>773</v>
      </c>
      <c r="G499" s="210" t="s">
        <v>19</v>
      </c>
      <c r="H499" s="219">
        <v>122.1</v>
      </c>
      <c r="I499" s="307" t="s">
        <v>49</v>
      </c>
      <c r="J499" s="181" t="s">
        <v>673</v>
      </c>
      <c r="K499" s="914" t="s">
        <v>2015</v>
      </c>
      <c r="L499" s="157" t="s">
        <v>2014</v>
      </c>
      <c r="M499" s="71"/>
    </row>
    <row r="500" spans="1:13" x14ac:dyDescent="0.2">
      <c r="A500" s="210">
        <v>5</v>
      </c>
      <c r="B500" s="215"/>
      <c r="C500" s="215"/>
      <c r="D500" s="209"/>
      <c r="E500" s="210">
        <v>7</v>
      </c>
      <c r="F500" s="210" t="s">
        <v>773</v>
      </c>
      <c r="G500" s="210" t="s">
        <v>21</v>
      </c>
      <c r="H500" s="219">
        <v>102</v>
      </c>
      <c r="I500" s="307"/>
      <c r="J500" s="181"/>
      <c r="K500" s="181"/>
      <c r="L500" s="57"/>
      <c r="M500" s="71"/>
    </row>
    <row r="501" spans="1:13" x14ac:dyDescent="0.2">
      <c r="A501" s="210">
        <v>5</v>
      </c>
      <c r="B501" s="215"/>
      <c r="C501" s="215"/>
      <c r="D501" s="209"/>
      <c r="E501" s="210">
        <v>7</v>
      </c>
      <c r="F501" s="210" t="s">
        <v>773</v>
      </c>
      <c r="G501" s="210" t="s">
        <v>23</v>
      </c>
      <c r="H501" s="219">
        <v>0.4</v>
      </c>
      <c r="I501" s="307"/>
      <c r="J501" s="181"/>
      <c r="K501" s="181"/>
      <c r="L501" s="57"/>
      <c r="M501" s="71"/>
    </row>
    <row r="502" spans="1:13" x14ac:dyDescent="0.2">
      <c r="A502" s="210">
        <v>5</v>
      </c>
      <c r="B502" s="215"/>
      <c r="C502" s="215"/>
      <c r="D502" s="209"/>
      <c r="E502" s="210"/>
      <c r="F502" s="210" t="s">
        <v>773</v>
      </c>
      <c r="G502" s="312" t="s">
        <v>247</v>
      </c>
      <c r="H502" s="220">
        <f>SUM(H499:H501)</f>
        <v>224.5</v>
      </c>
      <c r="I502" s="307"/>
      <c r="J502" s="155"/>
      <c r="K502" s="161"/>
      <c r="L502" s="45"/>
      <c r="M502" s="184"/>
    </row>
    <row r="503" spans="1:13" ht="33.75" x14ac:dyDescent="0.2">
      <c r="A503" s="210">
        <v>5</v>
      </c>
      <c r="B503" s="215"/>
      <c r="C503" s="215" t="s">
        <v>774</v>
      </c>
      <c r="D503" s="209" t="s">
        <v>775</v>
      </c>
      <c r="E503" s="210">
        <v>7</v>
      </c>
      <c r="F503" s="210" t="s">
        <v>776</v>
      </c>
      <c r="G503" s="485" t="s">
        <v>21</v>
      </c>
      <c r="H503" s="219">
        <v>265.3</v>
      </c>
      <c r="I503" s="307"/>
      <c r="J503" s="915" t="s">
        <v>2120</v>
      </c>
      <c r="K503" s="914" t="s">
        <v>2013</v>
      </c>
      <c r="L503" s="157" t="s">
        <v>2016</v>
      </c>
      <c r="M503" s="71"/>
    </row>
    <row r="504" spans="1:13" x14ac:dyDescent="0.2">
      <c r="A504" s="210">
        <v>5</v>
      </c>
      <c r="B504" s="215"/>
      <c r="C504" s="215"/>
      <c r="D504" s="209"/>
      <c r="E504" s="210">
        <v>7</v>
      </c>
      <c r="F504" s="210" t="s">
        <v>776</v>
      </c>
      <c r="G504" s="210" t="s">
        <v>23</v>
      </c>
      <c r="H504" s="219">
        <v>3.4</v>
      </c>
      <c r="I504" s="307"/>
      <c r="J504" s="173"/>
      <c r="K504" s="173"/>
      <c r="L504" s="913"/>
      <c r="M504" s="71"/>
    </row>
    <row r="505" spans="1:13" x14ac:dyDescent="0.2">
      <c r="A505" s="210">
        <v>5</v>
      </c>
      <c r="B505" s="215"/>
      <c r="C505" s="215"/>
      <c r="D505" s="209"/>
      <c r="E505" s="210"/>
      <c r="F505" s="210" t="s">
        <v>776</v>
      </c>
      <c r="G505" s="312" t="s">
        <v>247</v>
      </c>
      <c r="H505" s="220">
        <f>SUM(H503:H504)</f>
        <v>268.7</v>
      </c>
      <c r="I505" s="307"/>
      <c r="J505" s="155"/>
      <c r="K505" s="161"/>
      <c r="L505" s="45"/>
      <c r="M505" s="71"/>
    </row>
    <row r="506" spans="1:13" ht="22.5" x14ac:dyDescent="0.2">
      <c r="A506" s="378">
        <v>5</v>
      </c>
      <c r="B506" s="215"/>
      <c r="C506" s="215" t="s">
        <v>777</v>
      </c>
      <c r="D506" s="209" t="s">
        <v>778</v>
      </c>
      <c r="E506" s="210">
        <v>7</v>
      </c>
      <c r="F506" s="210" t="s">
        <v>779</v>
      </c>
      <c r="G506" s="210" t="s">
        <v>56</v>
      </c>
      <c r="H506" s="219">
        <f>200.4-50.1</f>
        <v>150.30000000000001</v>
      </c>
      <c r="I506" s="307"/>
      <c r="J506" s="964" t="s">
        <v>2101</v>
      </c>
      <c r="K506" s="173" t="s">
        <v>367</v>
      </c>
      <c r="L506" s="913">
        <v>100</v>
      </c>
      <c r="M506" s="71"/>
    </row>
    <row r="507" spans="1:13" x14ac:dyDescent="0.2">
      <c r="A507" s="378">
        <v>5</v>
      </c>
      <c r="B507" s="215"/>
      <c r="C507" s="215"/>
      <c r="D507" s="209"/>
      <c r="E507" s="210">
        <v>7</v>
      </c>
      <c r="F507" s="210" t="s">
        <v>779</v>
      </c>
      <c r="G507" s="210" t="s">
        <v>59</v>
      </c>
      <c r="H507" s="219">
        <v>50.1</v>
      </c>
      <c r="I507" s="307"/>
      <c r="J507" s="173"/>
      <c r="K507" s="173"/>
      <c r="L507" s="913"/>
      <c r="M507" s="71"/>
    </row>
    <row r="508" spans="1:13" x14ac:dyDescent="0.2">
      <c r="A508" s="210">
        <v>5</v>
      </c>
      <c r="B508" s="215"/>
      <c r="C508" s="215"/>
      <c r="D508" s="209"/>
      <c r="E508" s="210"/>
      <c r="F508" s="210" t="s">
        <v>779</v>
      </c>
      <c r="G508" s="312" t="s">
        <v>247</v>
      </c>
      <c r="H508" s="220">
        <f>SUM(H506:H507)</f>
        <v>200.4</v>
      </c>
      <c r="I508" s="307"/>
      <c r="J508" s="155"/>
      <c r="K508" s="161"/>
      <c r="L508" s="45"/>
      <c r="M508" s="184"/>
    </row>
    <row r="509" spans="1:13" x14ac:dyDescent="0.2">
      <c r="A509" s="210">
        <v>5</v>
      </c>
      <c r="B509" s="215"/>
      <c r="C509" s="215" t="s">
        <v>780</v>
      </c>
      <c r="D509" s="209" t="s">
        <v>781</v>
      </c>
      <c r="E509" s="210">
        <v>7</v>
      </c>
      <c r="F509" s="210" t="s">
        <v>782</v>
      </c>
      <c r="G509" s="210" t="s">
        <v>19</v>
      </c>
      <c r="H509" s="219">
        <f>50+12</f>
        <v>62</v>
      </c>
      <c r="I509" s="307" t="s">
        <v>58</v>
      </c>
      <c r="J509" s="173" t="s">
        <v>2124</v>
      </c>
      <c r="K509" s="173" t="s">
        <v>702</v>
      </c>
      <c r="L509" s="913">
        <v>10</v>
      </c>
      <c r="M509" s="71"/>
    </row>
    <row r="510" spans="1:13" x14ac:dyDescent="0.2">
      <c r="A510" s="210">
        <v>5</v>
      </c>
      <c r="B510" s="215"/>
      <c r="C510" s="215"/>
      <c r="D510" s="209"/>
      <c r="E510" s="210">
        <v>7</v>
      </c>
      <c r="F510" s="210" t="s">
        <v>782</v>
      </c>
      <c r="G510" s="210" t="s">
        <v>56</v>
      </c>
      <c r="H510" s="219">
        <f>50-50</f>
        <v>0</v>
      </c>
      <c r="I510" s="307"/>
      <c r="J510" s="173"/>
      <c r="K510" s="173"/>
      <c r="L510" s="913"/>
      <c r="M510" s="71"/>
    </row>
    <row r="511" spans="1:13" x14ac:dyDescent="0.2">
      <c r="A511" s="210">
        <v>5</v>
      </c>
      <c r="B511" s="215"/>
      <c r="C511" s="215"/>
      <c r="D511" s="209"/>
      <c r="E511" s="210"/>
      <c r="F511" s="210" t="s">
        <v>782</v>
      </c>
      <c r="G511" s="312" t="s">
        <v>247</v>
      </c>
      <c r="H511" s="220">
        <f>SUM(H509:H510)</f>
        <v>62</v>
      </c>
      <c r="I511" s="307"/>
      <c r="J511" s="155"/>
      <c r="K511" s="161"/>
      <c r="L511" s="45"/>
      <c r="M511" s="184"/>
    </row>
    <row r="512" spans="1:13" ht="30" customHeight="1" x14ac:dyDescent="0.2">
      <c r="A512" s="210">
        <v>5</v>
      </c>
      <c r="B512" s="215"/>
      <c r="C512" s="215" t="s">
        <v>783</v>
      </c>
      <c r="D512" s="209" t="s">
        <v>784</v>
      </c>
      <c r="E512" s="210">
        <v>7</v>
      </c>
      <c r="F512" s="210" t="s">
        <v>785</v>
      </c>
      <c r="G512" s="210" t="s">
        <v>19</v>
      </c>
      <c r="H512" s="219">
        <f>10+26.5</f>
        <v>36.5</v>
      </c>
      <c r="I512" s="307" t="s">
        <v>181</v>
      </c>
      <c r="J512" s="173" t="s">
        <v>673</v>
      </c>
      <c r="K512" s="173" t="s">
        <v>786</v>
      </c>
      <c r="L512" s="913">
        <v>455</v>
      </c>
      <c r="M512" s="71"/>
    </row>
    <row r="513" spans="1:13" x14ac:dyDescent="0.2">
      <c r="A513" s="210">
        <v>5</v>
      </c>
      <c r="B513" s="215"/>
      <c r="C513" s="215"/>
      <c r="D513" s="209"/>
      <c r="E513" s="210"/>
      <c r="F513" s="210" t="s">
        <v>785</v>
      </c>
      <c r="G513" s="312" t="s">
        <v>247</v>
      </c>
      <c r="H513" s="220">
        <f>SUM(H512:H512)</f>
        <v>36.5</v>
      </c>
      <c r="I513" s="307" t="s">
        <v>181</v>
      </c>
      <c r="J513" s="155"/>
      <c r="K513" s="161"/>
      <c r="L513" s="45"/>
      <c r="M513" s="71"/>
    </row>
    <row r="514" spans="1:13" ht="19.149999999999999" customHeight="1" x14ac:dyDescent="0.2">
      <c r="A514" s="210">
        <v>5</v>
      </c>
      <c r="B514" s="215"/>
      <c r="C514" s="215" t="s">
        <v>2161</v>
      </c>
      <c r="D514" s="209" t="s">
        <v>2162</v>
      </c>
      <c r="E514" s="210">
        <v>7</v>
      </c>
      <c r="F514" s="307" t="s">
        <v>2163</v>
      </c>
      <c r="G514" s="210" t="s">
        <v>19</v>
      </c>
      <c r="H514" s="219"/>
      <c r="I514" s="307"/>
      <c r="J514" s="155"/>
      <c r="K514" s="161"/>
      <c r="L514" s="45"/>
      <c r="M514" s="71"/>
    </row>
    <row r="515" spans="1:13" x14ac:dyDescent="0.2">
      <c r="A515" s="210">
        <v>5</v>
      </c>
      <c r="B515" s="215"/>
      <c r="C515" s="215"/>
      <c r="D515" s="209"/>
      <c r="E515" s="210">
        <v>7</v>
      </c>
      <c r="F515" s="307" t="s">
        <v>2163</v>
      </c>
      <c r="G515" s="210" t="s">
        <v>56</v>
      </c>
      <c r="H515" s="219">
        <v>140</v>
      </c>
      <c r="I515" s="307"/>
      <c r="J515" s="964" t="s">
        <v>1758</v>
      </c>
      <c r="K515" s="964" t="s">
        <v>2164</v>
      </c>
      <c r="L515" s="732">
        <v>3</v>
      </c>
      <c r="M515" s="71"/>
    </row>
    <row r="516" spans="1:13" x14ac:dyDescent="0.2">
      <c r="A516" s="210">
        <v>5</v>
      </c>
      <c r="B516" s="215"/>
      <c r="C516" s="215"/>
      <c r="D516" s="209"/>
      <c r="E516" s="210">
        <v>7</v>
      </c>
      <c r="F516" s="210"/>
      <c r="G516" s="312" t="s">
        <v>247</v>
      </c>
      <c r="H516" s="220">
        <f>SUM(H514:H515)</f>
        <v>140</v>
      </c>
      <c r="I516" s="307"/>
      <c r="J516" s="155"/>
      <c r="K516" s="161"/>
      <c r="L516" s="45"/>
      <c r="M516" s="71"/>
    </row>
    <row r="517" spans="1:13" ht="18.600000000000001" customHeight="1" x14ac:dyDescent="0.2">
      <c r="A517" s="210">
        <v>5</v>
      </c>
      <c r="B517" s="483" t="s">
        <v>787</v>
      </c>
      <c r="C517" s="483" t="s">
        <v>787</v>
      </c>
      <c r="D517" s="484" t="s">
        <v>788</v>
      </c>
      <c r="E517" s="210"/>
      <c r="F517" s="210"/>
      <c r="G517" s="382"/>
      <c r="H517" s="207"/>
      <c r="I517" s="307"/>
      <c r="J517" s="155"/>
      <c r="K517" s="161"/>
      <c r="L517" s="45"/>
      <c r="M517" s="71"/>
    </row>
    <row r="518" spans="1:13" ht="22.5" x14ac:dyDescent="0.2">
      <c r="A518" s="210">
        <v>5</v>
      </c>
      <c r="B518" s="215"/>
      <c r="C518" s="215" t="s">
        <v>789</v>
      </c>
      <c r="D518" s="209" t="s">
        <v>790</v>
      </c>
      <c r="E518" s="210">
        <v>7</v>
      </c>
      <c r="F518" s="210" t="s">
        <v>791</v>
      </c>
      <c r="G518" s="210" t="s">
        <v>19</v>
      </c>
      <c r="H518" s="219">
        <v>90</v>
      </c>
      <c r="I518" s="307" t="s">
        <v>64</v>
      </c>
      <c r="J518" s="915" t="s">
        <v>2125</v>
      </c>
      <c r="K518" s="915" t="s">
        <v>792</v>
      </c>
      <c r="L518" s="57">
        <v>3</v>
      </c>
      <c r="M518" s="71"/>
    </row>
    <row r="519" spans="1:13" ht="22.5" x14ac:dyDescent="0.2">
      <c r="A519" s="210">
        <v>5</v>
      </c>
      <c r="B519" s="215"/>
      <c r="C519" s="215"/>
      <c r="D519" s="209"/>
      <c r="E519" s="210">
        <v>7</v>
      </c>
      <c r="F519" s="210" t="s">
        <v>791</v>
      </c>
      <c r="G519" s="210" t="s">
        <v>22</v>
      </c>
      <c r="H519" s="219">
        <v>26</v>
      </c>
      <c r="I519" s="307"/>
      <c r="J519" s="915" t="s">
        <v>2125</v>
      </c>
      <c r="K519" s="915" t="s">
        <v>793</v>
      </c>
      <c r="L519" s="57">
        <v>5</v>
      </c>
      <c r="M519" s="71"/>
    </row>
    <row r="520" spans="1:13" x14ac:dyDescent="0.2">
      <c r="A520" s="378">
        <v>5</v>
      </c>
      <c r="B520" s="215"/>
      <c r="C520" s="215"/>
      <c r="D520" s="209"/>
      <c r="E520" s="210">
        <v>7</v>
      </c>
      <c r="F520" s="210" t="s">
        <v>791</v>
      </c>
      <c r="G520" s="210" t="s">
        <v>268</v>
      </c>
      <c r="H520" s="219">
        <f>50.6-30</f>
        <v>20.6</v>
      </c>
      <c r="I520" s="307"/>
      <c r="J520" s="917"/>
      <c r="K520" s="917"/>
      <c r="L520" s="917"/>
      <c r="M520" s="71"/>
    </row>
    <row r="521" spans="1:13" x14ac:dyDescent="0.2">
      <c r="A521" s="210">
        <v>5</v>
      </c>
      <c r="B521" s="215"/>
      <c r="C521" s="215"/>
      <c r="D521" s="209"/>
      <c r="E521" s="210">
        <v>7</v>
      </c>
      <c r="F521" s="210" t="s">
        <v>791</v>
      </c>
      <c r="G521" s="210" t="s">
        <v>21</v>
      </c>
      <c r="H521" s="219"/>
      <c r="I521" s="307"/>
      <c r="J521" s="173"/>
      <c r="K521" s="173"/>
      <c r="L521" s="913"/>
      <c r="M521" s="71"/>
    </row>
    <row r="522" spans="1:13" x14ac:dyDescent="0.2">
      <c r="A522" s="210">
        <v>5</v>
      </c>
      <c r="B522" s="215"/>
      <c r="C522" s="215"/>
      <c r="D522" s="209"/>
      <c r="E522" s="210">
        <v>7</v>
      </c>
      <c r="F522" s="210" t="s">
        <v>791</v>
      </c>
      <c r="G522" s="210" t="s">
        <v>21</v>
      </c>
      <c r="H522" s="219"/>
      <c r="I522" s="311"/>
      <c r="J522" s="155"/>
      <c r="K522" s="161"/>
      <c r="L522" s="45"/>
      <c r="M522" s="71"/>
    </row>
    <row r="523" spans="1:13" x14ac:dyDescent="0.2">
      <c r="A523" s="210">
        <v>5</v>
      </c>
      <c r="B523" s="215"/>
      <c r="C523" s="215"/>
      <c r="D523" s="209"/>
      <c r="E523" s="210">
        <v>7</v>
      </c>
      <c r="F523" s="210" t="s">
        <v>791</v>
      </c>
      <c r="G523" s="214" t="s">
        <v>589</v>
      </c>
      <c r="H523" s="219">
        <v>2.5</v>
      </c>
      <c r="I523" s="307"/>
      <c r="J523" s="155"/>
      <c r="K523" s="161"/>
      <c r="L523" s="45"/>
      <c r="M523" s="71"/>
    </row>
    <row r="524" spans="1:13" x14ac:dyDescent="0.2">
      <c r="A524" s="210">
        <v>5</v>
      </c>
      <c r="B524" s="215"/>
      <c r="C524" s="215"/>
      <c r="D524" s="209"/>
      <c r="E524" s="210">
        <v>7</v>
      </c>
      <c r="F524" s="210" t="s">
        <v>791</v>
      </c>
      <c r="G524" s="210" t="s">
        <v>23</v>
      </c>
      <c r="H524" s="219">
        <v>3.9</v>
      </c>
      <c r="I524" s="307"/>
      <c r="J524" s="173"/>
      <c r="K524" s="173"/>
      <c r="L524" s="913"/>
      <c r="M524" s="71"/>
    </row>
    <row r="525" spans="1:13" x14ac:dyDescent="0.2">
      <c r="A525" s="210">
        <v>5</v>
      </c>
      <c r="B525" s="215"/>
      <c r="C525" s="215"/>
      <c r="D525" s="209"/>
      <c r="E525" s="210"/>
      <c r="F525" s="210" t="s">
        <v>791</v>
      </c>
      <c r="G525" s="312" t="s">
        <v>247</v>
      </c>
      <c r="H525" s="220">
        <f>SUM(H518:H524)</f>
        <v>143</v>
      </c>
      <c r="I525" s="307"/>
      <c r="J525" s="173"/>
      <c r="K525" s="173"/>
      <c r="L525" s="913"/>
      <c r="M525" s="71"/>
    </row>
    <row r="526" spans="1:13" ht="21" customHeight="1" x14ac:dyDescent="0.2">
      <c r="A526" s="378">
        <v>5</v>
      </c>
      <c r="B526" s="215"/>
      <c r="C526" s="215" t="s">
        <v>794</v>
      </c>
      <c r="D526" s="209" t="s">
        <v>795</v>
      </c>
      <c r="E526" s="210">
        <v>7</v>
      </c>
      <c r="F526" s="210" t="s">
        <v>796</v>
      </c>
      <c r="G526" s="307" t="s">
        <v>176</v>
      </c>
      <c r="H526" s="219">
        <v>37.5</v>
      </c>
      <c r="I526" s="307" t="s">
        <v>181</v>
      </c>
      <c r="J526" s="173" t="s">
        <v>1706</v>
      </c>
      <c r="K526" s="181" t="s">
        <v>797</v>
      </c>
      <c r="L526" s="57">
        <v>5</v>
      </c>
      <c r="M526" s="71"/>
    </row>
    <row r="527" spans="1:13" x14ac:dyDescent="0.2">
      <c r="A527" s="210">
        <v>5</v>
      </c>
      <c r="B527" s="215"/>
      <c r="C527" s="215"/>
      <c r="D527" s="209"/>
      <c r="E527" s="210">
        <v>7</v>
      </c>
      <c r="F527" s="210" t="s">
        <v>796</v>
      </c>
      <c r="G527" s="307" t="s">
        <v>56</v>
      </c>
      <c r="H527" s="219">
        <v>212.5</v>
      </c>
      <c r="I527" s="307"/>
      <c r="J527" s="173"/>
      <c r="K527" s="173"/>
      <c r="L527" s="913"/>
      <c r="M527" s="71"/>
    </row>
    <row r="528" spans="1:13" x14ac:dyDescent="0.2">
      <c r="A528" s="210">
        <v>5</v>
      </c>
      <c r="B528" s="215"/>
      <c r="C528" s="215"/>
      <c r="D528" s="209"/>
      <c r="E528" s="215"/>
      <c r="F528" s="210"/>
      <c r="G528" s="312" t="s">
        <v>247</v>
      </c>
      <c r="H528" s="220">
        <f>SUM(H526:H527)</f>
        <v>250</v>
      </c>
      <c r="I528" s="307"/>
      <c r="J528" s="173"/>
      <c r="K528" s="173"/>
      <c r="L528" s="913"/>
      <c r="M528" s="71"/>
    </row>
    <row r="529" spans="1:13" ht="22.5" x14ac:dyDescent="0.2">
      <c r="A529" s="210">
        <v>5</v>
      </c>
      <c r="B529" s="215"/>
      <c r="C529" s="215" t="s">
        <v>798</v>
      </c>
      <c r="D529" s="209" t="s">
        <v>2077</v>
      </c>
      <c r="E529" s="210">
        <v>7</v>
      </c>
      <c r="F529" s="210" t="s">
        <v>799</v>
      </c>
      <c r="G529" s="307" t="s">
        <v>176</v>
      </c>
      <c r="H529" s="412">
        <f>28.5+9</f>
        <v>37.5</v>
      </c>
      <c r="I529" s="307" t="s">
        <v>58</v>
      </c>
      <c r="J529" s="173" t="s">
        <v>1706</v>
      </c>
      <c r="K529" s="161" t="s">
        <v>2078</v>
      </c>
      <c r="L529" s="45">
        <v>1</v>
      </c>
      <c r="M529" s="71"/>
    </row>
    <row r="530" spans="1:13" x14ac:dyDescent="0.2">
      <c r="A530" s="210">
        <v>5</v>
      </c>
      <c r="B530" s="215"/>
      <c r="C530" s="215"/>
      <c r="D530" s="209"/>
      <c r="E530" s="210">
        <v>7</v>
      </c>
      <c r="F530" s="210" t="s">
        <v>799</v>
      </c>
      <c r="G530" s="307" t="s">
        <v>56</v>
      </c>
      <c r="H530" s="412">
        <f>161.5+51</f>
        <v>212.5</v>
      </c>
      <c r="I530" s="307"/>
      <c r="J530" s="173"/>
      <c r="K530" s="173"/>
      <c r="L530" s="913"/>
      <c r="M530" s="71"/>
    </row>
    <row r="531" spans="1:13" x14ac:dyDescent="0.2">
      <c r="A531" s="210">
        <v>5</v>
      </c>
      <c r="B531" s="215"/>
      <c r="C531" s="215"/>
      <c r="D531" s="209"/>
      <c r="E531" s="215"/>
      <c r="F531" s="210"/>
      <c r="G531" s="312" t="s">
        <v>247</v>
      </c>
      <c r="H531" s="220">
        <f>SUM(H529:H530)</f>
        <v>250</v>
      </c>
      <c r="I531" s="307"/>
      <c r="J531" s="173"/>
      <c r="K531" s="173"/>
      <c r="L531" s="913"/>
      <c r="M531" s="71"/>
    </row>
    <row r="532" spans="1:13" ht="21.6" customHeight="1" x14ac:dyDescent="0.2">
      <c r="A532" s="378">
        <v>5</v>
      </c>
      <c r="B532" s="215"/>
      <c r="C532" s="215" t="s">
        <v>800</v>
      </c>
      <c r="D532" s="209" t="s">
        <v>801</v>
      </c>
      <c r="E532" s="210">
        <v>7</v>
      </c>
      <c r="F532" s="210" t="s">
        <v>802</v>
      </c>
      <c r="G532" s="307" t="s">
        <v>176</v>
      </c>
      <c r="H532" s="412">
        <v>35.299999999999997</v>
      </c>
      <c r="I532" s="307" t="s">
        <v>58</v>
      </c>
      <c r="J532" s="173" t="s">
        <v>1706</v>
      </c>
      <c r="K532" s="173" t="s">
        <v>803</v>
      </c>
      <c r="L532" s="913">
        <v>100</v>
      </c>
      <c r="M532" s="72" t="s">
        <v>67</v>
      </c>
    </row>
    <row r="533" spans="1:13" x14ac:dyDescent="0.2">
      <c r="A533" s="210">
        <v>5</v>
      </c>
      <c r="B533" s="215"/>
      <c r="C533" s="215"/>
      <c r="D533" s="209"/>
      <c r="E533" s="210">
        <v>7</v>
      </c>
      <c r="F533" s="210" t="s">
        <v>802</v>
      </c>
      <c r="G533" s="307" t="s">
        <v>56</v>
      </c>
      <c r="H533" s="412">
        <v>200</v>
      </c>
      <c r="I533" s="307"/>
      <c r="J533" s="173"/>
      <c r="K533" s="173"/>
      <c r="L533" s="913"/>
      <c r="M533" s="72" t="s">
        <v>67</v>
      </c>
    </row>
    <row r="534" spans="1:13" ht="17.25" customHeight="1" x14ac:dyDescent="0.2">
      <c r="A534" s="210">
        <v>5</v>
      </c>
      <c r="B534" s="215"/>
      <c r="C534" s="215"/>
      <c r="D534" s="209"/>
      <c r="E534" s="215"/>
      <c r="F534" s="210"/>
      <c r="G534" s="312" t="s">
        <v>247</v>
      </c>
      <c r="H534" s="220">
        <f>SUM(H532:H533)</f>
        <v>235.3</v>
      </c>
      <c r="I534" s="307"/>
      <c r="J534" s="155"/>
      <c r="K534" s="161"/>
      <c r="L534" s="45"/>
      <c r="M534" s="71"/>
    </row>
    <row r="535" spans="1:13" ht="22.5" x14ac:dyDescent="0.2">
      <c r="A535" s="210">
        <v>5</v>
      </c>
      <c r="B535" s="215"/>
      <c r="C535" s="215" t="s">
        <v>804</v>
      </c>
      <c r="D535" s="209" t="s">
        <v>805</v>
      </c>
      <c r="E535" s="210">
        <v>7</v>
      </c>
      <c r="F535" s="210" t="s">
        <v>806</v>
      </c>
      <c r="G535" s="307" t="s">
        <v>176</v>
      </c>
      <c r="H535" s="412">
        <v>80</v>
      </c>
      <c r="I535" s="307" t="s">
        <v>58</v>
      </c>
      <c r="J535" s="173" t="s">
        <v>1706</v>
      </c>
      <c r="K535" s="173" t="s">
        <v>807</v>
      </c>
      <c r="L535" s="913">
        <v>1</v>
      </c>
      <c r="M535" s="71"/>
    </row>
    <row r="536" spans="1:13" x14ac:dyDescent="0.2">
      <c r="A536" s="210">
        <v>5</v>
      </c>
      <c r="B536" s="215"/>
      <c r="C536" s="215"/>
      <c r="D536" s="209"/>
      <c r="E536" s="210">
        <v>7</v>
      </c>
      <c r="F536" s="210" t="s">
        <v>806</v>
      </c>
      <c r="G536" s="307" t="s">
        <v>56</v>
      </c>
      <c r="H536" s="412">
        <v>400</v>
      </c>
      <c r="I536" s="307"/>
      <c r="J536" s="173"/>
      <c r="K536" s="173"/>
      <c r="L536" s="913"/>
      <c r="M536" s="71"/>
    </row>
    <row r="537" spans="1:13" x14ac:dyDescent="0.2">
      <c r="A537" s="210">
        <v>5</v>
      </c>
      <c r="B537" s="215"/>
      <c r="C537" s="215"/>
      <c r="D537" s="209"/>
      <c r="E537" s="215"/>
      <c r="F537" s="210"/>
      <c r="G537" s="312" t="s">
        <v>247</v>
      </c>
      <c r="H537" s="220">
        <f>SUM(H535:H536)</f>
        <v>480</v>
      </c>
      <c r="I537" s="307"/>
      <c r="J537" s="173"/>
      <c r="K537" s="173"/>
      <c r="L537" s="913"/>
      <c r="M537" s="71"/>
    </row>
    <row r="538" spans="1:13" ht="22.5" x14ac:dyDescent="0.2">
      <c r="A538" s="210">
        <v>5</v>
      </c>
      <c r="B538" s="215"/>
      <c r="C538" s="215" t="s">
        <v>808</v>
      </c>
      <c r="D538" s="275" t="s">
        <v>809</v>
      </c>
      <c r="E538" s="491" t="s">
        <v>810</v>
      </c>
      <c r="F538" s="812" t="s">
        <v>811</v>
      </c>
      <c r="G538" s="813" t="s">
        <v>19</v>
      </c>
      <c r="H538" s="219">
        <v>180.5</v>
      </c>
      <c r="I538" s="307" t="s">
        <v>181</v>
      </c>
      <c r="J538" s="823" t="s">
        <v>385</v>
      </c>
      <c r="K538" s="823" t="s">
        <v>812</v>
      </c>
      <c r="L538" s="829">
        <v>1</v>
      </c>
      <c r="M538" s="71"/>
    </row>
    <row r="539" spans="1:13" x14ac:dyDescent="0.2">
      <c r="A539" s="378">
        <v>5</v>
      </c>
      <c r="B539" s="215"/>
      <c r="C539" s="215"/>
      <c r="D539" s="275"/>
      <c r="E539" s="491" t="s">
        <v>810</v>
      </c>
      <c r="F539" s="812" t="s">
        <v>811</v>
      </c>
      <c r="G539" s="813" t="s">
        <v>177</v>
      </c>
      <c r="H539" s="219"/>
      <c r="I539" s="307"/>
      <c r="J539" s="173"/>
      <c r="K539" s="173"/>
      <c r="L539" s="913"/>
      <c r="M539" s="71"/>
    </row>
    <row r="540" spans="1:13" x14ac:dyDescent="0.2">
      <c r="A540" s="210">
        <v>5</v>
      </c>
      <c r="B540" s="215"/>
      <c r="C540" s="215"/>
      <c r="D540" s="209"/>
      <c r="E540" s="210"/>
      <c r="F540" s="210"/>
      <c r="G540" s="312" t="s">
        <v>247</v>
      </c>
      <c r="H540" s="220">
        <f>SUM(H538,H539)</f>
        <v>180.5</v>
      </c>
      <c r="I540" s="307"/>
      <c r="J540" s="173"/>
      <c r="K540" s="173"/>
      <c r="L540" s="913"/>
      <c r="M540" s="71"/>
    </row>
    <row r="541" spans="1:13" ht="22.5" x14ac:dyDescent="0.2">
      <c r="A541" s="210">
        <v>5</v>
      </c>
      <c r="B541" s="486"/>
      <c r="C541" s="486"/>
      <c r="D541" s="315" t="s">
        <v>813</v>
      </c>
      <c r="E541" s="316"/>
      <c r="F541" s="317"/>
      <c r="G541" s="316"/>
      <c r="H541" s="316"/>
      <c r="I541" s="307"/>
      <c r="J541" s="155"/>
      <c r="K541" s="161"/>
      <c r="L541" s="45"/>
      <c r="M541" s="184"/>
    </row>
    <row r="542" spans="1:13" ht="33.75" x14ac:dyDescent="0.2">
      <c r="A542" s="210">
        <v>5</v>
      </c>
      <c r="B542" s="483" t="s">
        <v>814</v>
      </c>
      <c r="C542" s="483" t="s">
        <v>814</v>
      </c>
      <c r="D542" s="484" t="s">
        <v>815</v>
      </c>
      <c r="E542" s="274">
        <v>7</v>
      </c>
      <c r="F542" s="210" t="s">
        <v>816</v>
      </c>
      <c r="G542" s="485" t="s">
        <v>21</v>
      </c>
      <c r="H542" s="219"/>
      <c r="I542" s="307"/>
      <c r="J542" s="915" t="s">
        <v>2120</v>
      </c>
      <c r="K542" s="173" t="s">
        <v>817</v>
      </c>
      <c r="L542" s="57">
        <v>5</v>
      </c>
      <c r="M542" s="71"/>
    </row>
    <row r="543" spans="1:13" x14ac:dyDescent="0.2">
      <c r="A543" s="210">
        <v>5</v>
      </c>
      <c r="B543" s="215"/>
      <c r="C543" s="215"/>
      <c r="D543" s="209"/>
      <c r="E543" s="274">
        <v>7</v>
      </c>
      <c r="F543" s="210" t="s">
        <v>816</v>
      </c>
      <c r="G543" s="210" t="s">
        <v>268</v>
      </c>
      <c r="H543" s="219">
        <v>76.900000000000006</v>
      </c>
      <c r="I543" s="307"/>
      <c r="J543" s="155"/>
      <c r="K543" s="161"/>
      <c r="L543" s="45"/>
      <c r="M543" s="71"/>
    </row>
    <row r="544" spans="1:13" x14ac:dyDescent="0.2">
      <c r="A544" s="210">
        <v>5</v>
      </c>
      <c r="B544" s="215"/>
      <c r="C544" s="215"/>
      <c r="D544" s="209"/>
      <c r="E544" s="274"/>
      <c r="F544" s="210" t="s">
        <v>816</v>
      </c>
      <c r="G544" s="312" t="s">
        <v>247</v>
      </c>
      <c r="H544" s="220">
        <f>SUM(H542:H543)</f>
        <v>76.900000000000006</v>
      </c>
      <c r="I544" s="307"/>
      <c r="J544" s="155"/>
      <c r="K544" s="161"/>
      <c r="L544" s="45"/>
      <c r="M544" s="71"/>
    </row>
    <row r="545" spans="1:13" ht="45" x14ac:dyDescent="0.2">
      <c r="A545" s="378">
        <v>5</v>
      </c>
      <c r="B545" s="483" t="s">
        <v>818</v>
      </c>
      <c r="C545" s="483" t="s">
        <v>818</v>
      </c>
      <c r="D545" s="484" t="s">
        <v>819</v>
      </c>
      <c r="E545" s="274"/>
      <c r="F545" s="210"/>
      <c r="G545" s="301"/>
      <c r="H545" s="207"/>
      <c r="I545" s="307"/>
      <c r="J545" s="915" t="s">
        <v>823</v>
      </c>
      <c r="K545" s="873" t="s">
        <v>828</v>
      </c>
      <c r="L545" s="57">
        <v>30</v>
      </c>
      <c r="M545" s="71"/>
    </row>
    <row r="546" spans="1:13" ht="22.5" x14ac:dyDescent="0.2">
      <c r="A546" s="210">
        <v>5</v>
      </c>
      <c r="B546" s="215"/>
      <c r="C546" s="215" t="s">
        <v>820</v>
      </c>
      <c r="D546" s="209" t="s">
        <v>821</v>
      </c>
      <c r="E546" s="210">
        <v>16</v>
      </c>
      <c r="F546" s="210" t="s">
        <v>822</v>
      </c>
      <c r="G546" s="210" t="s">
        <v>19</v>
      </c>
      <c r="H546" s="219">
        <v>22.5</v>
      </c>
      <c r="I546" s="307" t="s">
        <v>64</v>
      </c>
      <c r="J546" s="915" t="s">
        <v>823</v>
      </c>
      <c r="K546" s="873" t="s">
        <v>824</v>
      </c>
      <c r="L546" s="57">
        <v>15</v>
      </c>
      <c r="M546" s="71"/>
    </row>
    <row r="547" spans="1:13" ht="22.5" x14ac:dyDescent="0.2">
      <c r="A547" s="210">
        <v>5</v>
      </c>
      <c r="B547" s="215"/>
      <c r="C547" s="215"/>
      <c r="D547" s="209"/>
      <c r="E547" s="210">
        <v>16</v>
      </c>
      <c r="F547" s="210" t="s">
        <v>822</v>
      </c>
      <c r="G547" s="210" t="s">
        <v>21</v>
      </c>
      <c r="H547" s="219"/>
      <c r="I547" s="307"/>
      <c r="J547" s="915" t="s">
        <v>823</v>
      </c>
      <c r="K547" s="873" t="s">
        <v>825</v>
      </c>
      <c r="L547" s="57">
        <v>10</v>
      </c>
      <c r="M547" s="71"/>
    </row>
    <row r="548" spans="1:13" ht="22.5" x14ac:dyDescent="0.2">
      <c r="A548" s="210">
        <v>5</v>
      </c>
      <c r="B548" s="215"/>
      <c r="C548" s="215"/>
      <c r="D548" s="209"/>
      <c r="E548" s="210">
        <v>16</v>
      </c>
      <c r="F548" s="210" t="s">
        <v>822</v>
      </c>
      <c r="G548" s="210"/>
      <c r="H548" s="219"/>
      <c r="I548" s="307" t="s">
        <v>64</v>
      </c>
      <c r="J548" s="915" t="s">
        <v>823</v>
      </c>
      <c r="K548" s="873" t="s">
        <v>826</v>
      </c>
      <c r="L548" s="57">
        <v>10</v>
      </c>
      <c r="M548" s="71"/>
    </row>
    <row r="549" spans="1:13" ht="22.5" x14ac:dyDescent="0.2">
      <c r="A549" s="210">
        <v>5</v>
      </c>
      <c r="B549" s="215"/>
      <c r="C549" s="215"/>
      <c r="D549" s="209"/>
      <c r="E549" s="210">
        <v>16</v>
      </c>
      <c r="F549" s="210" t="s">
        <v>822</v>
      </c>
      <c r="G549" s="210"/>
      <c r="H549" s="219"/>
      <c r="I549" s="307"/>
      <c r="J549" s="915" t="s">
        <v>823</v>
      </c>
      <c r="K549" s="873" t="s">
        <v>827</v>
      </c>
      <c r="L549" s="57">
        <v>35</v>
      </c>
      <c r="M549" s="71"/>
    </row>
    <row r="550" spans="1:13" ht="16.899999999999999" customHeight="1" x14ac:dyDescent="0.2">
      <c r="A550" s="210">
        <v>5</v>
      </c>
      <c r="B550" s="202"/>
      <c r="C550" s="202"/>
      <c r="D550" s="948"/>
      <c r="E550" s="215"/>
      <c r="F550" s="210"/>
      <c r="G550" s="312" t="s">
        <v>247</v>
      </c>
      <c r="H550" s="220">
        <f>SUM(H546:H549)</f>
        <v>22.5</v>
      </c>
      <c r="I550" s="307"/>
      <c r="J550" s="260"/>
      <c r="K550" s="598"/>
      <c r="L550" s="202"/>
      <c r="M550" s="184"/>
    </row>
    <row r="551" spans="1:13" ht="33.75" x14ac:dyDescent="0.2">
      <c r="A551" s="210">
        <v>5</v>
      </c>
      <c r="B551" s="483" t="s">
        <v>2052</v>
      </c>
      <c r="C551" s="483" t="s">
        <v>2052</v>
      </c>
      <c r="D551" s="484" t="s">
        <v>2053</v>
      </c>
      <c r="E551" s="248">
        <v>11</v>
      </c>
      <c r="F551" s="210" t="s">
        <v>2054</v>
      </c>
      <c r="G551" s="210" t="s">
        <v>19</v>
      </c>
      <c r="H551" s="219">
        <v>2</v>
      </c>
      <c r="I551" s="307"/>
      <c r="J551" s="952" t="s">
        <v>107</v>
      </c>
      <c r="K551" s="245" t="s">
        <v>2056</v>
      </c>
      <c r="L551" s="307">
        <v>6</v>
      </c>
      <c r="M551" s="71"/>
    </row>
    <row r="552" spans="1:13" ht="22.5" x14ac:dyDescent="0.2">
      <c r="A552" s="210">
        <v>5</v>
      </c>
      <c r="B552" s="215"/>
      <c r="C552" s="215"/>
      <c r="D552" s="209"/>
      <c r="E552" s="248">
        <v>15</v>
      </c>
      <c r="F552" s="210" t="s">
        <v>2054</v>
      </c>
      <c r="G552" s="210" t="s">
        <v>19</v>
      </c>
      <c r="H552" s="219">
        <v>5</v>
      </c>
      <c r="I552" s="307"/>
      <c r="J552" s="952" t="s">
        <v>2057</v>
      </c>
      <c r="K552" s="245" t="s">
        <v>2058</v>
      </c>
      <c r="L552" s="307">
        <v>1</v>
      </c>
      <c r="M552" s="71"/>
    </row>
    <row r="553" spans="1:13" x14ac:dyDescent="0.2">
      <c r="A553" s="210">
        <v>5</v>
      </c>
      <c r="B553" s="215"/>
      <c r="C553" s="215"/>
      <c r="D553" s="209"/>
      <c r="E553" s="248">
        <v>23</v>
      </c>
      <c r="F553" s="210" t="s">
        <v>2055</v>
      </c>
      <c r="G553" s="210" t="s">
        <v>19</v>
      </c>
      <c r="H553" s="219">
        <v>1</v>
      </c>
      <c r="I553" s="307"/>
      <c r="J553" s="952" t="s">
        <v>2059</v>
      </c>
      <c r="K553" s="952" t="s">
        <v>2060</v>
      </c>
      <c r="L553" s="307">
        <v>1</v>
      </c>
      <c r="M553" s="71"/>
    </row>
    <row r="554" spans="1:13" x14ac:dyDescent="0.2">
      <c r="A554" s="210">
        <v>5</v>
      </c>
      <c r="B554" s="215"/>
      <c r="C554" s="215"/>
      <c r="D554" s="209"/>
      <c r="E554" s="215"/>
      <c r="F554" s="210"/>
      <c r="G554" s="312" t="s">
        <v>247</v>
      </c>
      <c r="H554" s="220">
        <f>SUM(H551:H553)</f>
        <v>8</v>
      </c>
      <c r="I554" s="307"/>
      <c r="J554" s="260"/>
      <c r="K554" s="598"/>
      <c r="L554" s="202"/>
      <c r="M554" s="71"/>
    </row>
    <row r="555" spans="1:13" ht="33.75" x14ac:dyDescent="0.2">
      <c r="A555" s="210">
        <v>5</v>
      </c>
      <c r="B555" s="486"/>
      <c r="C555" s="486"/>
      <c r="D555" s="315" t="s">
        <v>829</v>
      </c>
      <c r="E555" s="316"/>
      <c r="F555" s="317"/>
      <c r="G555" s="316"/>
      <c r="H555" s="316"/>
      <c r="I555" s="307"/>
      <c r="J555" s="173"/>
      <c r="K555" s="173"/>
      <c r="L555" s="913"/>
      <c r="M555" s="71"/>
    </row>
    <row r="556" spans="1:13" ht="55.9" customHeight="1" x14ac:dyDescent="0.2">
      <c r="A556" s="378">
        <v>5</v>
      </c>
      <c r="B556" s="308" t="s">
        <v>830</v>
      </c>
      <c r="C556" s="308" t="s">
        <v>830</v>
      </c>
      <c r="D556" s="313" t="s">
        <v>831</v>
      </c>
      <c r="E556" s="248"/>
      <c r="F556" s="210"/>
      <c r="G556" s="210"/>
      <c r="H556" s="207">
        <f>SUM(H559,H561,H563,H566,H569)</f>
        <v>563.69999999999993</v>
      </c>
      <c r="I556" s="307"/>
      <c r="J556" s="915" t="s">
        <v>2126</v>
      </c>
      <c r="K556" s="922" t="s">
        <v>832</v>
      </c>
      <c r="L556" s="157" t="s">
        <v>833</v>
      </c>
      <c r="M556" s="71"/>
    </row>
    <row r="557" spans="1:13" ht="45" x14ac:dyDescent="0.2">
      <c r="A557" s="210">
        <v>5</v>
      </c>
      <c r="B557" s="215"/>
      <c r="C557" s="215" t="s">
        <v>834</v>
      </c>
      <c r="D557" s="209" t="s">
        <v>835</v>
      </c>
      <c r="E557" s="210">
        <v>8</v>
      </c>
      <c r="F557" s="210" t="s">
        <v>836</v>
      </c>
      <c r="G557" s="210" t="s">
        <v>19</v>
      </c>
      <c r="H557" s="219">
        <f>190-3</f>
        <v>187</v>
      </c>
      <c r="I557" s="307" t="s">
        <v>64</v>
      </c>
      <c r="J557" s="915" t="s">
        <v>2126</v>
      </c>
      <c r="K557" s="922" t="s">
        <v>837</v>
      </c>
      <c r="L557" s="57">
        <v>2</v>
      </c>
      <c r="M557" s="71"/>
    </row>
    <row r="558" spans="1:13" ht="33.75" x14ac:dyDescent="0.2">
      <c r="A558" s="210">
        <v>5</v>
      </c>
      <c r="B558" s="215"/>
      <c r="C558" s="215"/>
      <c r="D558" s="209"/>
      <c r="E558" s="210">
        <v>8</v>
      </c>
      <c r="F558" s="210" t="s">
        <v>836</v>
      </c>
      <c r="G558" s="210" t="s">
        <v>249</v>
      </c>
      <c r="H558" s="219"/>
      <c r="I558" s="307"/>
      <c r="J558" s="915" t="s">
        <v>2126</v>
      </c>
      <c r="K558" s="922" t="s">
        <v>838</v>
      </c>
      <c r="L558" s="57">
        <v>9</v>
      </c>
      <c r="M558" s="71"/>
    </row>
    <row r="559" spans="1:13" x14ac:dyDescent="0.2">
      <c r="A559" s="210">
        <v>5</v>
      </c>
      <c r="B559" s="215"/>
      <c r="C559" s="215"/>
      <c r="D559" s="209"/>
      <c r="E559" s="215"/>
      <c r="F559" s="210" t="s">
        <v>836</v>
      </c>
      <c r="G559" s="312" t="s">
        <v>247</v>
      </c>
      <c r="H559" s="220">
        <f>SUM(H557:H557)</f>
        <v>187</v>
      </c>
      <c r="I559" s="307"/>
      <c r="J559" s="68"/>
      <c r="K559" s="922"/>
      <c r="L559" s="193"/>
      <c r="M559" s="71"/>
    </row>
    <row r="560" spans="1:13" ht="22.5" x14ac:dyDescent="0.2">
      <c r="A560" s="210">
        <v>5</v>
      </c>
      <c r="B560" s="215"/>
      <c r="C560" s="215" t="s">
        <v>839</v>
      </c>
      <c r="D560" s="209" t="s">
        <v>840</v>
      </c>
      <c r="E560" s="248">
        <v>8</v>
      </c>
      <c r="F560" s="210" t="s">
        <v>841</v>
      </c>
      <c r="G560" s="214" t="s">
        <v>21</v>
      </c>
      <c r="H560" s="219">
        <f>49.6-16.5</f>
        <v>33.1</v>
      </c>
      <c r="I560" s="307"/>
      <c r="J560" s="915" t="s">
        <v>2126</v>
      </c>
      <c r="K560" s="922" t="s">
        <v>842</v>
      </c>
      <c r="L560" s="57">
        <v>12</v>
      </c>
      <c r="M560" s="71"/>
    </row>
    <row r="561" spans="1:13" x14ac:dyDescent="0.2">
      <c r="A561" s="210">
        <v>5</v>
      </c>
      <c r="B561" s="215"/>
      <c r="C561" s="215"/>
      <c r="D561" s="209"/>
      <c r="E561" s="248"/>
      <c r="F561" s="492"/>
      <c r="G561" s="312" t="s">
        <v>247</v>
      </c>
      <c r="H561" s="220">
        <f>SUM(H560)</f>
        <v>33.1</v>
      </c>
      <c r="I561" s="307"/>
      <c r="J561" s="915"/>
      <c r="K561" s="922"/>
      <c r="L561" s="57"/>
      <c r="M561" s="71"/>
    </row>
    <row r="562" spans="1:13" ht="56.25" x14ac:dyDescent="0.2">
      <c r="A562" s="378">
        <v>5</v>
      </c>
      <c r="B562" s="215"/>
      <c r="C562" s="215" t="s">
        <v>843</v>
      </c>
      <c r="D562" s="209" t="s">
        <v>844</v>
      </c>
      <c r="E562" s="210">
        <v>8</v>
      </c>
      <c r="F562" s="210" t="s">
        <v>845</v>
      </c>
      <c r="G562" s="211" t="s">
        <v>19</v>
      </c>
      <c r="H562" s="219">
        <v>94.8</v>
      </c>
      <c r="I562" s="307" t="s">
        <v>64</v>
      </c>
      <c r="J562" s="915" t="s">
        <v>2126</v>
      </c>
      <c r="K562" s="922" t="s">
        <v>846</v>
      </c>
      <c r="L562" s="157">
        <v>2</v>
      </c>
      <c r="M562" s="71"/>
    </row>
    <row r="563" spans="1:13" x14ac:dyDescent="0.2">
      <c r="A563" s="210">
        <v>5</v>
      </c>
      <c r="B563" s="372"/>
      <c r="C563" s="372"/>
      <c r="D563" s="371"/>
      <c r="E563" s="372"/>
      <c r="F563" s="373" t="s">
        <v>845</v>
      </c>
      <c r="G563" s="398" t="s">
        <v>247</v>
      </c>
      <c r="H563" s="279">
        <f>SUM(H562)</f>
        <v>94.8</v>
      </c>
      <c r="I563" s="307"/>
      <c r="J563" s="918"/>
      <c r="K563" s="922"/>
      <c r="L563" s="919"/>
      <c r="M563" s="73"/>
    </row>
    <row r="564" spans="1:13" ht="22.5" x14ac:dyDescent="0.2">
      <c r="A564" s="210">
        <v>5</v>
      </c>
      <c r="B564" s="215"/>
      <c r="C564" s="215" t="s">
        <v>847</v>
      </c>
      <c r="D564" s="209" t="s">
        <v>848</v>
      </c>
      <c r="E564" s="248">
        <v>8</v>
      </c>
      <c r="F564" s="210" t="s">
        <v>849</v>
      </c>
      <c r="G564" s="210" t="s">
        <v>19</v>
      </c>
      <c r="H564" s="219">
        <v>150</v>
      </c>
      <c r="I564" s="311" t="s">
        <v>64</v>
      </c>
      <c r="J564" s="915" t="s">
        <v>2126</v>
      </c>
      <c r="K564" s="922" t="s">
        <v>842</v>
      </c>
      <c r="L564" s="57">
        <v>14</v>
      </c>
      <c r="M564" s="71"/>
    </row>
    <row r="565" spans="1:13" x14ac:dyDescent="0.2">
      <c r="A565" s="210">
        <v>5</v>
      </c>
      <c r="B565" s="377"/>
      <c r="C565" s="377"/>
      <c r="D565" s="493"/>
      <c r="E565" s="494">
        <v>8</v>
      </c>
      <c r="F565" s="378" t="s">
        <v>849</v>
      </c>
      <c r="G565" s="302" t="s">
        <v>249</v>
      </c>
      <c r="H565" s="386">
        <v>45</v>
      </c>
      <c r="I565" s="307"/>
      <c r="J565" s="920"/>
      <c r="K565" s="921"/>
      <c r="L565" s="177"/>
      <c r="M565" s="74"/>
    </row>
    <row r="566" spans="1:13" x14ac:dyDescent="0.2">
      <c r="A566" s="210">
        <v>5</v>
      </c>
      <c r="B566" s="215"/>
      <c r="C566" s="215"/>
      <c r="D566" s="209"/>
      <c r="E566" s="248"/>
      <c r="F566" s="210" t="s">
        <v>849</v>
      </c>
      <c r="G566" s="312" t="s">
        <v>247</v>
      </c>
      <c r="H566" s="220">
        <f>SUM(H564:H565)</f>
        <v>195</v>
      </c>
      <c r="I566" s="307"/>
      <c r="J566" s="915"/>
      <c r="K566" s="173"/>
      <c r="L566" s="913"/>
      <c r="M566" s="71"/>
    </row>
    <row r="567" spans="1:13" ht="33.75" x14ac:dyDescent="0.2">
      <c r="A567" s="210">
        <v>5</v>
      </c>
      <c r="B567" s="215"/>
      <c r="C567" s="377" t="s">
        <v>850</v>
      </c>
      <c r="D567" s="209" t="s">
        <v>851</v>
      </c>
      <c r="E567" s="248">
        <v>8</v>
      </c>
      <c r="F567" s="210" t="s">
        <v>852</v>
      </c>
      <c r="G567" s="214" t="s">
        <v>19</v>
      </c>
      <c r="H567" s="219">
        <v>53.8</v>
      </c>
      <c r="I567" s="307" t="s">
        <v>58</v>
      </c>
      <c r="J567" s="915" t="s">
        <v>2126</v>
      </c>
      <c r="K567" s="922" t="s">
        <v>853</v>
      </c>
      <c r="L567" s="923">
        <v>1</v>
      </c>
      <c r="M567" s="71"/>
    </row>
    <row r="568" spans="1:13" ht="13.5" customHeight="1" x14ac:dyDescent="0.2">
      <c r="A568" s="378">
        <v>5</v>
      </c>
      <c r="B568" s="215"/>
      <c r="C568" s="215"/>
      <c r="D568" s="209"/>
      <c r="E568" s="248">
        <v>8</v>
      </c>
      <c r="F568" s="210" t="s">
        <v>852</v>
      </c>
      <c r="G568" s="214" t="s">
        <v>56</v>
      </c>
      <c r="H568" s="219">
        <f>58.2-58.2</f>
        <v>0</v>
      </c>
      <c r="I568" s="307"/>
      <c r="J568" s="915"/>
      <c r="K568" s="173"/>
      <c r="L568" s="913"/>
      <c r="M568" s="71"/>
    </row>
    <row r="569" spans="1:13" x14ac:dyDescent="0.2">
      <c r="A569" s="210">
        <v>5</v>
      </c>
      <c r="B569" s="215"/>
      <c r="C569" s="215"/>
      <c r="D569" s="209"/>
      <c r="E569" s="248">
        <v>8</v>
      </c>
      <c r="F569" s="210" t="s">
        <v>852</v>
      </c>
      <c r="G569" s="312" t="s">
        <v>247</v>
      </c>
      <c r="H569" s="220">
        <f>SUM(H567:H568)</f>
        <v>53.8</v>
      </c>
      <c r="I569" s="307"/>
      <c r="J569" s="915"/>
      <c r="K569" s="173"/>
      <c r="L569" s="913"/>
      <c r="M569" s="71"/>
    </row>
    <row r="570" spans="1:13" hidden="1" x14ac:dyDescent="0.2">
      <c r="A570" s="210">
        <v>5</v>
      </c>
      <c r="B570" s="215"/>
      <c r="C570" s="215"/>
      <c r="D570" s="209"/>
      <c r="E570" s="248"/>
      <c r="F570" s="210"/>
      <c r="G570" s="299" t="s">
        <v>247</v>
      </c>
      <c r="H570" s="299">
        <f>SUM(H449,H451,H456,H461,H465,H470,H473,H483,H485,H491,H494,H498,H502,H505,H508,H511,H513,H525,H544,H550,H559,H561,H563,H566,H467,H476,H496,H479,H453,H528,H531,H534,H537,H569,H540,H554,H516)</f>
        <v>47082.30000000001</v>
      </c>
      <c r="I570" s="307"/>
      <c r="J570" s="155"/>
      <c r="K570" s="161"/>
      <c r="L570" s="45"/>
      <c r="M570" s="184"/>
    </row>
    <row r="571" spans="1:13" hidden="1" x14ac:dyDescent="0.2">
      <c r="A571" s="210">
        <v>5</v>
      </c>
      <c r="B571" s="215"/>
      <c r="C571" s="215"/>
      <c r="D571" s="209"/>
      <c r="E571" s="248"/>
      <c r="F571" s="210"/>
      <c r="G571" s="210" t="s">
        <v>19</v>
      </c>
      <c r="H571" s="211">
        <f>SUM(H450,H460,H469,H471,H482,H484,H489,H492,H495,H497,H499,H509,H512,H518,H546,H548,H557,H562,H564,H452,H478,H567,H538,H551,H552,H553)</f>
        <v>6090.7000000000007</v>
      </c>
      <c r="I571" s="307"/>
      <c r="J571" s="157"/>
      <c r="K571" s="163"/>
      <c r="L571" s="57"/>
      <c r="M571" s="71"/>
    </row>
    <row r="572" spans="1:13" hidden="1" x14ac:dyDescent="0.2">
      <c r="A572" s="210">
        <v>5</v>
      </c>
      <c r="B572" s="215"/>
      <c r="C572" s="215"/>
      <c r="D572" s="209"/>
      <c r="E572" s="248"/>
      <c r="F572" s="210"/>
      <c r="G572" s="210" t="s">
        <v>175</v>
      </c>
      <c r="H572" s="938">
        <f>SUM(H447,H454)</f>
        <v>34522.200000000004</v>
      </c>
      <c r="I572" s="307"/>
      <c r="J572" s="157"/>
      <c r="K572" s="163"/>
      <c r="L572" s="57"/>
      <c r="M572" s="71"/>
    </row>
    <row r="573" spans="1:13" hidden="1" x14ac:dyDescent="0.2">
      <c r="A573" s="210">
        <v>5</v>
      </c>
      <c r="B573" s="215"/>
      <c r="C573" s="215"/>
      <c r="D573" s="209"/>
      <c r="E573" s="248"/>
      <c r="F573" s="210"/>
      <c r="G573" s="495" t="s">
        <v>21</v>
      </c>
      <c r="H573" s="939">
        <f>SUM(H457,H462,H472,H474,H487,H493,,H500,H503,H521,H522,H542,H547,H549,H560,H477)</f>
        <v>591.9</v>
      </c>
      <c r="I573" s="307"/>
      <c r="J573" s="157"/>
      <c r="K573" s="163"/>
      <c r="L573" s="57"/>
      <c r="M573" s="71"/>
    </row>
    <row r="574" spans="1:13" hidden="1" x14ac:dyDescent="0.2">
      <c r="A574" s="378">
        <v>5</v>
      </c>
      <c r="B574" s="215"/>
      <c r="C574" s="215"/>
      <c r="D574" s="209"/>
      <c r="E574" s="248"/>
      <c r="F574" s="210"/>
      <c r="G574" s="495" t="s">
        <v>268</v>
      </c>
      <c r="H574" s="939">
        <f>SUM(H543,H520,H488,H475,H463,H458,)</f>
        <v>4072</v>
      </c>
      <c r="I574" s="307"/>
      <c r="J574" s="157"/>
      <c r="K574" s="163"/>
      <c r="L574" s="57"/>
      <c r="M574" s="71"/>
    </row>
    <row r="575" spans="1:13" hidden="1" x14ac:dyDescent="0.2">
      <c r="A575" s="210">
        <v>5</v>
      </c>
      <c r="B575" s="215"/>
      <c r="C575" s="215"/>
      <c r="D575" s="209"/>
      <c r="E575" s="248"/>
      <c r="F575" s="210"/>
      <c r="G575" s="210" t="s">
        <v>56</v>
      </c>
      <c r="H575" s="940">
        <f>SUM(H506,H510,H527,H530,H533,H536,H568,H515)</f>
        <v>1315.3</v>
      </c>
      <c r="I575" s="307"/>
      <c r="J575" s="157"/>
      <c r="K575" s="163"/>
      <c r="L575" s="57"/>
      <c r="M575" s="71"/>
    </row>
    <row r="576" spans="1:13" hidden="1" x14ac:dyDescent="0.2">
      <c r="A576" s="210">
        <v>5</v>
      </c>
      <c r="B576" s="215"/>
      <c r="C576" s="215"/>
      <c r="D576" s="209"/>
      <c r="E576" s="248"/>
      <c r="F576" s="210"/>
      <c r="G576" s="210" t="s">
        <v>249</v>
      </c>
      <c r="H576" s="211">
        <f>SUM(H558,H565)</f>
        <v>45</v>
      </c>
      <c r="I576" s="307"/>
      <c r="J576" s="157"/>
      <c r="K576" s="163"/>
      <c r="L576" s="57"/>
      <c r="M576" s="71"/>
    </row>
    <row r="577" spans="1:13" hidden="1" x14ac:dyDescent="0.2">
      <c r="A577" s="210">
        <v>5</v>
      </c>
      <c r="B577" s="215"/>
      <c r="C577" s="215"/>
      <c r="D577" s="209"/>
      <c r="E577" s="248"/>
      <c r="F577" s="210"/>
      <c r="G577" s="210" t="s">
        <v>22</v>
      </c>
      <c r="H577" s="211">
        <f>SUM(H519)</f>
        <v>26</v>
      </c>
      <c r="I577" s="307"/>
      <c r="J577" s="157"/>
      <c r="K577" s="163"/>
      <c r="L577" s="57"/>
      <c r="M577" s="71"/>
    </row>
    <row r="578" spans="1:13" hidden="1" x14ac:dyDescent="0.2">
      <c r="A578" s="210">
        <v>5</v>
      </c>
      <c r="B578" s="215"/>
      <c r="C578" s="215"/>
      <c r="D578" s="209"/>
      <c r="E578" s="248"/>
      <c r="F578" s="210"/>
      <c r="G578" s="210" t="s">
        <v>589</v>
      </c>
      <c r="H578" s="211">
        <f>H523</f>
        <v>2.5</v>
      </c>
      <c r="I578" s="307"/>
      <c r="J578" s="157"/>
      <c r="K578" s="163"/>
      <c r="L578" s="57"/>
      <c r="M578" s="71"/>
    </row>
    <row r="579" spans="1:13" hidden="1" x14ac:dyDescent="0.2">
      <c r="A579" s="210">
        <v>5</v>
      </c>
      <c r="B579" s="215"/>
      <c r="C579" s="215"/>
      <c r="D579" s="209"/>
      <c r="E579" s="248"/>
      <c r="F579" s="210"/>
      <c r="G579" s="210" t="s">
        <v>23</v>
      </c>
      <c r="H579" s="211">
        <f>SUM(H459,H464,H466,H504,H524,H501,H490)</f>
        <v>26.299999999999994</v>
      </c>
      <c r="I579" s="307"/>
      <c r="J579" s="157"/>
      <c r="K579" s="163"/>
      <c r="L579" s="57"/>
      <c r="M579" s="71"/>
    </row>
    <row r="580" spans="1:13" hidden="1" x14ac:dyDescent="0.2">
      <c r="A580" s="378">
        <v>5</v>
      </c>
      <c r="B580" s="215"/>
      <c r="C580" s="215"/>
      <c r="D580" s="209"/>
      <c r="E580" s="248"/>
      <c r="F580" s="210"/>
      <c r="G580" s="210" t="s">
        <v>692</v>
      </c>
      <c r="H580" s="211">
        <f>H448+H455</f>
        <v>150</v>
      </c>
      <c r="I580" s="307"/>
      <c r="J580" s="157"/>
      <c r="K580" s="163"/>
      <c r="L580" s="57"/>
      <c r="M580" s="71"/>
    </row>
    <row r="581" spans="1:13" hidden="1" x14ac:dyDescent="0.2">
      <c r="A581" s="210">
        <v>5</v>
      </c>
      <c r="B581" s="215"/>
      <c r="C581" s="215"/>
      <c r="D581" s="209"/>
      <c r="E581" s="248"/>
      <c r="F581" s="210"/>
      <c r="G581" s="210" t="s">
        <v>177</v>
      </c>
      <c r="H581" s="211">
        <f>SUM(H539)</f>
        <v>0</v>
      </c>
      <c r="I581" s="307"/>
      <c r="J581" s="157"/>
      <c r="K581" s="163"/>
      <c r="L581" s="57"/>
      <c r="M581" s="71"/>
    </row>
    <row r="582" spans="1:13" hidden="1" x14ac:dyDescent="0.2">
      <c r="A582" s="210">
        <v>5</v>
      </c>
      <c r="B582" s="215"/>
      <c r="C582" s="215"/>
      <c r="D582" s="209"/>
      <c r="E582" s="248"/>
      <c r="F582" s="210"/>
      <c r="G582" s="210" t="s">
        <v>176</v>
      </c>
      <c r="H582" s="211">
        <f>H535+H532+H529+H526</f>
        <v>190.3</v>
      </c>
      <c r="I582" s="307"/>
      <c r="J582" s="157"/>
      <c r="K582" s="163"/>
      <c r="L582" s="57"/>
      <c r="M582" s="71"/>
    </row>
    <row r="583" spans="1:13" hidden="1" x14ac:dyDescent="0.2">
      <c r="A583" s="210">
        <v>5</v>
      </c>
      <c r="B583" s="215"/>
      <c r="C583" s="215"/>
      <c r="D583" s="209"/>
      <c r="E583" s="248"/>
      <c r="F583" s="210"/>
      <c r="G583" s="210" t="s">
        <v>487</v>
      </c>
      <c r="H583" s="211"/>
      <c r="I583" s="307"/>
      <c r="J583" s="157"/>
      <c r="K583" s="163"/>
      <c r="L583" s="57"/>
      <c r="M583" s="71"/>
    </row>
    <row r="584" spans="1:13" hidden="1" x14ac:dyDescent="0.2">
      <c r="A584" s="210">
        <v>5</v>
      </c>
      <c r="B584" s="215"/>
      <c r="C584" s="215"/>
      <c r="D584" s="209"/>
      <c r="E584" s="248"/>
      <c r="F584" s="210"/>
      <c r="G584" s="210" t="s">
        <v>59</v>
      </c>
      <c r="H584" s="211">
        <f>H507</f>
        <v>50.1</v>
      </c>
      <c r="I584" s="307"/>
      <c r="J584" s="157"/>
      <c r="K584" s="163"/>
      <c r="L584" s="57"/>
      <c r="M584" s="71"/>
    </row>
    <row r="585" spans="1:13" hidden="1" x14ac:dyDescent="0.2">
      <c r="A585" s="210">
        <v>5</v>
      </c>
      <c r="B585" s="215"/>
      <c r="C585" s="215"/>
      <c r="D585" s="209"/>
      <c r="E585" s="248"/>
      <c r="F585" s="210"/>
      <c r="G585" s="299" t="s">
        <v>247</v>
      </c>
      <c r="H585" s="299">
        <f>SUM(H571:I584)</f>
        <v>47082.300000000017</v>
      </c>
      <c r="I585" s="307"/>
      <c r="J585" s="157"/>
      <c r="K585" s="163"/>
      <c r="L585" s="57"/>
      <c r="M585" s="71"/>
    </row>
    <row r="586" spans="1:13" hidden="1" x14ac:dyDescent="0.2">
      <c r="A586" s="210">
        <v>5</v>
      </c>
      <c r="B586" s="215"/>
      <c r="C586" s="215"/>
      <c r="D586" s="209"/>
      <c r="E586" s="248"/>
      <c r="F586" s="210"/>
      <c r="G586" s="210"/>
      <c r="H586" s="211">
        <f>H570-H585</f>
        <v>0</v>
      </c>
      <c r="I586" s="307"/>
      <c r="J586" s="157"/>
      <c r="K586" s="163"/>
      <c r="L586" s="57"/>
      <c r="M586" s="71"/>
    </row>
    <row r="587" spans="1:13" x14ac:dyDescent="0.2">
      <c r="A587" s="934"/>
      <c r="B587" s="934"/>
      <c r="C587" s="934"/>
      <c r="D587" s="934" t="s">
        <v>2022</v>
      </c>
      <c r="E587" s="935"/>
      <c r="F587" s="934"/>
      <c r="G587" s="934"/>
      <c r="H587" s="934"/>
      <c r="I587" s="934"/>
      <c r="J587" s="934"/>
      <c r="K587" s="934"/>
      <c r="L587" s="934"/>
      <c r="M587" s="936"/>
    </row>
    <row r="588" spans="1:13" ht="22.5" x14ac:dyDescent="0.2">
      <c r="A588" s="496">
        <v>6</v>
      </c>
      <c r="B588" s="497"/>
      <c r="C588" s="497"/>
      <c r="D588" s="498" t="s">
        <v>854</v>
      </c>
      <c r="E588" s="499"/>
      <c r="F588" s="500"/>
      <c r="G588" s="501"/>
      <c r="H588" s="502"/>
      <c r="I588" s="503" t="s">
        <v>641</v>
      </c>
      <c r="J588" s="924" t="s">
        <v>641</v>
      </c>
      <c r="K588" s="925" t="s">
        <v>641</v>
      </c>
      <c r="L588" s="926" t="s">
        <v>641</v>
      </c>
      <c r="M588" s="75" t="s">
        <v>641</v>
      </c>
    </row>
    <row r="589" spans="1:13" ht="22.5" x14ac:dyDescent="0.2">
      <c r="A589" s="496">
        <v>6</v>
      </c>
      <c r="B589" s="231" t="s">
        <v>855</v>
      </c>
      <c r="C589" s="231" t="s">
        <v>855</v>
      </c>
      <c r="D589" s="504" t="s">
        <v>856</v>
      </c>
      <c r="E589" s="505"/>
      <c r="F589" s="505"/>
      <c r="G589" s="505"/>
      <c r="H589" s="505"/>
      <c r="I589" s="235" t="s">
        <v>641</v>
      </c>
      <c r="J589" s="76" t="s">
        <v>641</v>
      </c>
      <c r="K589" s="164" t="s">
        <v>641</v>
      </c>
      <c r="L589" s="77" t="s">
        <v>641</v>
      </c>
      <c r="M589" s="78" t="s">
        <v>641</v>
      </c>
    </row>
    <row r="590" spans="1:13" ht="22.5" x14ac:dyDescent="0.2">
      <c r="A590" s="496">
        <v>6</v>
      </c>
      <c r="B590" s="506"/>
      <c r="C590" s="814"/>
      <c r="D590" s="507"/>
      <c r="E590" s="508"/>
      <c r="F590" s="815"/>
      <c r="G590" s="509" t="s">
        <v>857</v>
      </c>
      <c r="H590" s="509">
        <f>SUM(H593,H596,H599,H602,H605,H608,H611,H614,H617,H620,H623,H626,H629)</f>
        <v>2673.8</v>
      </c>
      <c r="I590" s="235" t="s">
        <v>641</v>
      </c>
      <c r="J590" s="79" t="s">
        <v>641</v>
      </c>
      <c r="K590" s="165" t="s">
        <v>641</v>
      </c>
      <c r="L590" s="80" t="s">
        <v>641</v>
      </c>
      <c r="M590" s="81" t="s">
        <v>641</v>
      </c>
    </row>
    <row r="591" spans="1:13" ht="22.5" x14ac:dyDescent="0.2">
      <c r="A591" s="496">
        <v>6</v>
      </c>
      <c r="B591" s="506"/>
      <c r="C591" s="506"/>
      <c r="D591" s="507"/>
      <c r="E591" s="508"/>
      <c r="F591" s="815"/>
      <c r="G591" s="509" t="s">
        <v>858</v>
      </c>
      <c r="H591" s="509">
        <f>SUM(H594,H597,H600,H603,H606,H609,H612,H615,H618,H621,H624,H630,H627)</f>
        <v>0</v>
      </c>
      <c r="I591" s="235" t="s">
        <v>641</v>
      </c>
      <c r="J591" s="79" t="s">
        <v>641</v>
      </c>
      <c r="K591" s="166" t="s">
        <v>641</v>
      </c>
      <c r="L591" s="80" t="s">
        <v>641</v>
      </c>
      <c r="M591" s="81" t="s">
        <v>641</v>
      </c>
    </row>
    <row r="592" spans="1:13" x14ac:dyDescent="0.2">
      <c r="A592" s="496">
        <v>6</v>
      </c>
      <c r="B592" s="506"/>
      <c r="C592" s="506"/>
      <c r="D592" s="507"/>
      <c r="E592" s="508"/>
      <c r="F592" s="815"/>
      <c r="G592" s="510" t="s">
        <v>859</v>
      </c>
      <c r="H592" s="510">
        <f>H590+H591</f>
        <v>2673.8</v>
      </c>
      <c r="I592" s="235" t="s">
        <v>641</v>
      </c>
      <c r="J592" s="79" t="s">
        <v>641</v>
      </c>
      <c r="K592" s="166" t="s">
        <v>641</v>
      </c>
      <c r="L592" s="80" t="s">
        <v>641</v>
      </c>
      <c r="M592" s="81" t="s">
        <v>641</v>
      </c>
    </row>
    <row r="593" spans="1:13" ht="24" customHeight="1" x14ac:dyDescent="0.2">
      <c r="A593" s="496">
        <v>6</v>
      </c>
      <c r="B593" s="506"/>
      <c r="C593" s="506" t="s">
        <v>860</v>
      </c>
      <c r="D593" s="507" t="s">
        <v>861</v>
      </c>
      <c r="E593" s="511">
        <v>19</v>
      </c>
      <c r="F593" s="508" t="s">
        <v>862</v>
      </c>
      <c r="G593" s="490" t="s">
        <v>19</v>
      </c>
      <c r="H593" s="512">
        <f>63.9+12.1</f>
        <v>76</v>
      </c>
      <c r="I593" s="235" t="s">
        <v>49</v>
      </c>
      <c r="J593" s="79" t="s">
        <v>863</v>
      </c>
      <c r="K593" s="166" t="s">
        <v>864</v>
      </c>
      <c r="L593" s="80">
        <v>52.1</v>
      </c>
      <c r="M593" s="81" t="s">
        <v>217</v>
      </c>
    </row>
    <row r="594" spans="1:13" x14ac:dyDescent="0.2">
      <c r="A594" s="496">
        <v>6</v>
      </c>
      <c r="B594" s="506"/>
      <c r="C594" s="506"/>
      <c r="D594" s="507"/>
      <c r="E594" s="511">
        <v>19</v>
      </c>
      <c r="F594" s="508" t="s">
        <v>862</v>
      </c>
      <c r="G594" s="489" t="s">
        <v>248</v>
      </c>
      <c r="H594" s="512"/>
      <c r="I594" s="235" t="s">
        <v>49</v>
      </c>
      <c r="J594" s="79" t="s">
        <v>641</v>
      </c>
      <c r="K594" s="166" t="s">
        <v>641</v>
      </c>
      <c r="L594" s="80" t="s">
        <v>641</v>
      </c>
      <c r="M594" s="81" t="s">
        <v>217</v>
      </c>
    </row>
    <row r="595" spans="1:13" x14ac:dyDescent="0.2">
      <c r="A595" s="496">
        <v>6</v>
      </c>
      <c r="B595" s="506"/>
      <c r="C595" s="506"/>
      <c r="D595" s="507"/>
      <c r="E595" s="511"/>
      <c r="F595" s="508" t="s">
        <v>862</v>
      </c>
      <c r="G595" s="513" t="s">
        <v>247</v>
      </c>
      <c r="H595" s="220">
        <f t="shared" ref="H595" si="0">SUM(H593:H594)</f>
        <v>76</v>
      </c>
      <c r="I595" s="235" t="s">
        <v>641</v>
      </c>
      <c r="J595" s="79" t="s">
        <v>641</v>
      </c>
      <c r="K595" s="166" t="s">
        <v>641</v>
      </c>
      <c r="L595" s="82" t="s">
        <v>641</v>
      </c>
      <c r="M595" s="83" t="s">
        <v>641</v>
      </c>
    </row>
    <row r="596" spans="1:13" ht="22.5" x14ac:dyDescent="0.2">
      <c r="A596" s="496">
        <v>6</v>
      </c>
      <c r="B596" s="506"/>
      <c r="C596" s="506" t="s">
        <v>865</v>
      </c>
      <c r="D596" s="507" t="s">
        <v>866</v>
      </c>
      <c r="E596" s="511">
        <v>20</v>
      </c>
      <c r="F596" s="508" t="s">
        <v>867</v>
      </c>
      <c r="G596" s="490" t="s">
        <v>19</v>
      </c>
      <c r="H596" s="512">
        <f>136.8+20.4</f>
        <v>157.20000000000002</v>
      </c>
      <c r="I596" s="235" t="s">
        <v>49</v>
      </c>
      <c r="J596" s="79" t="s">
        <v>868</v>
      </c>
      <c r="K596" s="166" t="s">
        <v>864</v>
      </c>
      <c r="L596" s="80">
        <v>76.900000000000006</v>
      </c>
      <c r="M596" s="81" t="s">
        <v>545</v>
      </c>
    </row>
    <row r="597" spans="1:13" x14ac:dyDescent="0.2">
      <c r="A597" s="496">
        <v>6</v>
      </c>
      <c r="B597" s="506"/>
      <c r="C597" s="506"/>
      <c r="D597" s="507"/>
      <c r="E597" s="511">
        <v>20</v>
      </c>
      <c r="F597" s="508" t="s">
        <v>867</v>
      </c>
      <c r="G597" s="489" t="s">
        <v>248</v>
      </c>
      <c r="H597" s="512"/>
      <c r="I597" s="235" t="s">
        <v>49</v>
      </c>
      <c r="J597" s="79" t="s">
        <v>641</v>
      </c>
      <c r="K597" s="166" t="s">
        <v>641</v>
      </c>
      <c r="L597" s="80" t="s">
        <v>641</v>
      </c>
      <c r="M597" s="81" t="s">
        <v>545</v>
      </c>
    </row>
    <row r="598" spans="1:13" x14ac:dyDescent="0.2">
      <c r="A598" s="496">
        <v>6</v>
      </c>
      <c r="B598" s="506"/>
      <c r="C598" s="506"/>
      <c r="D598" s="507"/>
      <c r="E598" s="511"/>
      <c r="F598" s="508" t="s">
        <v>867</v>
      </c>
      <c r="G598" s="513" t="s">
        <v>247</v>
      </c>
      <c r="H598" s="220">
        <f t="shared" ref="H598" si="1">SUM(H596:H597)</f>
        <v>157.20000000000002</v>
      </c>
      <c r="I598" s="235" t="s">
        <v>641</v>
      </c>
      <c r="J598" s="79" t="s">
        <v>641</v>
      </c>
      <c r="K598" s="166" t="s">
        <v>641</v>
      </c>
      <c r="L598" s="82" t="s">
        <v>641</v>
      </c>
      <c r="M598" s="83" t="s">
        <v>641</v>
      </c>
    </row>
    <row r="599" spans="1:13" x14ac:dyDescent="0.2">
      <c r="A599" s="496">
        <v>6</v>
      </c>
      <c r="B599" s="506"/>
      <c r="C599" s="506" t="s">
        <v>869</v>
      </c>
      <c r="D599" s="507" t="s">
        <v>870</v>
      </c>
      <c r="E599" s="511">
        <v>21</v>
      </c>
      <c r="F599" s="508" t="s">
        <v>871</v>
      </c>
      <c r="G599" s="490" t="s">
        <v>19</v>
      </c>
      <c r="H599" s="512">
        <f>195.9+29.3</f>
        <v>225.20000000000002</v>
      </c>
      <c r="I599" s="235" t="s">
        <v>49</v>
      </c>
      <c r="J599" s="79" t="s">
        <v>872</v>
      </c>
      <c r="K599" s="166" t="s">
        <v>864</v>
      </c>
      <c r="L599" s="927">
        <v>121</v>
      </c>
      <c r="M599" s="81" t="s">
        <v>187</v>
      </c>
    </row>
    <row r="600" spans="1:13" x14ac:dyDescent="0.2">
      <c r="A600" s="496">
        <v>6</v>
      </c>
      <c r="B600" s="506"/>
      <c r="C600" s="506"/>
      <c r="D600" s="507"/>
      <c r="E600" s="511">
        <v>21</v>
      </c>
      <c r="F600" s="508" t="s">
        <v>871</v>
      </c>
      <c r="G600" s="489" t="s">
        <v>248</v>
      </c>
      <c r="H600" s="512"/>
      <c r="I600" s="235" t="s">
        <v>49</v>
      </c>
      <c r="J600" s="79" t="s">
        <v>641</v>
      </c>
      <c r="K600" s="166" t="s">
        <v>641</v>
      </c>
      <c r="L600" s="80" t="s">
        <v>641</v>
      </c>
      <c r="M600" s="81" t="s">
        <v>187</v>
      </c>
    </row>
    <row r="601" spans="1:13" x14ac:dyDescent="0.2">
      <c r="A601" s="496">
        <v>6</v>
      </c>
      <c r="B601" s="506"/>
      <c r="C601" s="506"/>
      <c r="D601" s="507"/>
      <c r="E601" s="511"/>
      <c r="F601" s="508" t="s">
        <v>871</v>
      </c>
      <c r="G601" s="513" t="s">
        <v>247</v>
      </c>
      <c r="H601" s="220">
        <f t="shared" ref="H601" si="2">SUM(H599:H600)</f>
        <v>225.20000000000002</v>
      </c>
      <c r="I601" s="235" t="s">
        <v>641</v>
      </c>
      <c r="J601" s="79" t="s">
        <v>641</v>
      </c>
      <c r="K601" s="166" t="s">
        <v>641</v>
      </c>
      <c r="L601" s="82" t="s">
        <v>641</v>
      </c>
      <c r="M601" s="83" t="s">
        <v>641</v>
      </c>
    </row>
    <row r="602" spans="1:13" ht="22.15" customHeight="1" x14ac:dyDescent="0.2">
      <c r="A602" s="496">
        <v>6</v>
      </c>
      <c r="B602" s="506"/>
      <c r="C602" s="506" t="s">
        <v>873</v>
      </c>
      <c r="D602" s="507" t="s">
        <v>874</v>
      </c>
      <c r="E602" s="511">
        <v>22</v>
      </c>
      <c r="F602" s="508" t="s">
        <v>875</v>
      </c>
      <c r="G602" s="490" t="s">
        <v>19</v>
      </c>
      <c r="H602" s="512">
        <f>89.4+3.2</f>
        <v>92.600000000000009</v>
      </c>
      <c r="I602" s="235" t="s">
        <v>49</v>
      </c>
      <c r="J602" s="79" t="s">
        <v>876</v>
      </c>
      <c r="K602" s="166" t="s">
        <v>864</v>
      </c>
      <c r="L602" s="80">
        <v>79.7</v>
      </c>
      <c r="M602" s="81" t="s">
        <v>246</v>
      </c>
    </row>
    <row r="603" spans="1:13" x14ac:dyDescent="0.2">
      <c r="A603" s="496">
        <v>6</v>
      </c>
      <c r="B603" s="506"/>
      <c r="C603" s="506"/>
      <c r="D603" s="507"/>
      <c r="E603" s="511">
        <v>22</v>
      </c>
      <c r="F603" s="508" t="s">
        <v>875</v>
      </c>
      <c r="G603" s="489" t="s">
        <v>248</v>
      </c>
      <c r="H603" s="512"/>
      <c r="I603" s="235" t="s">
        <v>49</v>
      </c>
      <c r="J603" s="79" t="s">
        <v>641</v>
      </c>
      <c r="K603" s="166" t="s">
        <v>641</v>
      </c>
      <c r="L603" s="80" t="s">
        <v>641</v>
      </c>
      <c r="M603" s="81" t="s">
        <v>246</v>
      </c>
    </row>
    <row r="604" spans="1:13" x14ac:dyDescent="0.2">
      <c r="A604" s="496">
        <v>6</v>
      </c>
      <c r="B604" s="506"/>
      <c r="C604" s="506"/>
      <c r="D604" s="507"/>
      <c r="E604" s="511"/>
      <c r="F604" s="508" t="s">
        <v>875</v>
      </c>
      <c r="G604" s="513" t="s">
        <v>247</v>
      </c>
      <c r="H604" s="220">
        <f t="shared" ref="H604" si="3">SUM(H602:H603)</f>
        <v>92.600000000000009</v>
      </c>
      <c r="I604" s="235" t="s">
        <v>641</v>
      </c>
      <c r="J604" s="79" t="s">
        <v>641</v>
      </c>
      <c r="K604" s="166" t="s">
        <v>641</v>
      </c>
      <c r="L604" s="82" t="s">
        <v>641</v>
      </c>
      <c r="M604" s="83" t="s">
        <v>641</v>
      </c>
    </row>
    <row r="605" spans="1:13" ht="22.5" x14ac:dyDescent="0.2">
      <c r="A605" s="496">
        <v>6</v>
      </c>
      <c r="B605" s="506"/>
      <c r="C605" s="506" t="s">
        <v>877</v>
      </c>
      <c r="D605" s="507" t="s">
        <v>878</v>
      </c>
      <c r="E605" s="511">
        <v>23</v>
      </c>
      <c r="F605" s="508" t="s">
        <v>879</v>
      </c>
      <c r="G605" s="490" t="s">
        <v>19</v>
      </c>
      <c r="H605" s="512">
        <f>254.3+100+12.3+59.7</f>
        <v>426.3</v>
      </c>
      <c r="I605" s="235" t="s">
        <v>49</v>
      </c>
      <c r="J605" s="79" t="s">
        <v>880</v>
      </c>
      <c r="K605" s="166" t="s">
        <v>864</v>
      </c>
      <c r="L605" s="80">
        <v>64.900000000000006</v>
      </c>
      <c r="M605" s="81" t="s">
        <v>67</v>
      </c>
    </row>
    <row r="606" spans="1:13" x14ac:dyDescent="0.2">
      <c r="A606" s="496">
        <v>6</v>
      </c>
      <c r="B606" s="506"/>
      <c r="C606" s="506"/>
      <c r="D606" s="507"/>
      <c r="E606" s="511">
        <v>23</v>
      </c>
      <c r="F606" s="508" t="s">
        <v>879</v>
      </c>
      <c r="G606" s="489" t="s">
        <v>248</v>
      </c>
      <c r="H606" s="512"/>
      <c r="I606" s="235" t="s">
        <v>49</v>
      </c>
      <c r="J606" s="79" t="s">
        <v>641</v>
      </c>
      <c r="K606" s="166" t="s">
        <v>641</v>
      </c>
      <c r="L606" s="80" t="s">
        <v>641</v>
      </c>
      <c r="M606" s="81" t="s">
        <v>67</v>
      </c>
    </row>
    <row r="607" spans="1:13" x14ac:dyDescent="0.2">
      <c r="A607" s="496">
        <v>6</v>
      </c>
      <c r="B607" s="506"/>
      <c r="C607" s="506"/>
      <c r="D607" s="507"/>
      <c r="E607" s="511"/>
      <c r="F607" s="508" t="s">
        <v>879</v>
      </c>
      <c r="G607" s="513" t="s">
        <v>247</v>
      </c>
      <c r="H607" s="220">
        <f t="shared" ref="H607" si="4">SUM(H605:H606)</f>
        <v>426.3</v>
      </c>
      <c r="I607" s="235" t="s">
        <v>641</v>
      </c>
      <c r="J607" s="79" t="s">
        <v>641</v>
      </c>
      <c r="K607" s="166" t="s">
        <v>641</v>
      </c>
      <c r="L607" s="82" t="s">
        <v>641</v>
      </c>
      <c r="M607" s="83" t="s">
        <v>641</v>
      </c>
    </row>
    <row r="608" spans="1:13" ht="22.5" x14ac:dyDescent="0.2">
      <c r="A608" s="496">
        <v>6</v>
      </c>
      <c r="B608" s="506"/>
      <c r="C608" s="506" t="s">
        <v>881</v>
      </c>
      <c r="D608" s="507" t="s">
        <v>882</v>
      </c>
      <c r="E608" s="511">
        <v>24</v>
      </c>
      <c r="F608" s="508" t="s">
        <v>883</v>
      </c>
      <c r="G608" s="490" t="s">
        <v>19</v>
      </c>
      <c r="H608" s="512">
        <f>45.1+10.8</f>
        <v>55.900000000000006</v>
      </c>
      <c r="I608" s="235" t="s">
        <v>49</v>
      </c>
      <c r="J608" s="79" t="s">
        <v>884</v>
      </c>
      <c r="K608" s="166" t="s">
        <v>864</v>
      </c>
      <c r="L608" s="80">
        <v>41.7</v>
      </c>
      <c r="M608" s="81" t="s">
        <v>361</v>
      </c>
    </row>
    <row r="609" spans="1:13" x14ac:dyDescent="0.2">
      <c r="A609" s="496">
        <v>6</v>
      </c>
      <c r="B609" s="506"/>
      <c r="C609" s="506"/>
      <c r="D609" s="507"/>
      <c r="E609" s="511">
        <v>24</v>
      </c>
      <c r="F609" s="508" t="s">
        <v>883</v>
      </c>
      <c r="G609" s="489" t="s">
        <v>248</v>
      </c>
      <c r="H609" s="512"/>
      <c r="I609" s="235" t="s">
        <v>49</v>
      </c>
      <c r="J609" s="79" t="s">
        <v>641</v>
      </c>
      <c r="K609" s="166" t="s">
        <v>641</v>
      </c>
      <c r="L609" s="80" t="s">
        <v>641</v>
      </c>
      <c r="M609" s="81" t="s">
        <v>361</v>
      </c>
    </row>
    <row r="610" spans="1:13" x14ac:dyDescent="0.2">
      <c r="A610" s="496">
        <v>6</v>
      </c>
      <c r="B610" s="506"/>
      <c r="C610" s="506"/>
      <c r="D610" s="507"/>
      <c r="E610" s="511"/>
      <c r="F610" s="508" t="s">
        <v>883</v>
      </c>
      <c r="G610" s="513" t="s">
        <v>247</v>
      </c>
      <c r="H610" s="220">
        <f t="shared" ref="H610" si="5">SUM(H608:H609)</f>
        <v>55.900000000000006</v>
      </c>
      <c r="I610" s="235" t="s">
        <v>641</v>
      </c>
      <c r="J610" s="79" t="s">
        <v>641</v>
      </c>
      <c r="K610" s="166" t="s">
        <v>641</v>
      </c>
      <c r="L610" s="82" t="s">
        <v>641</v>
      </c>
      <c r="M610" s="83" t="s">
        <v>641</v>
      </c>
    </row>
    <row r="611" spans="1:13" ht="22.5" x14ac:dyDescent="0.2">
      <c r="A611" s="496">
        <v>6</v>
      </c>
      <c r="B611" s="506"/>
      <c r="C611" s="506" t="s">
        <v>885</v>
      </c>
      <c r="D611" s="507" t="s">
        <v>886</v>
      </c>
      <c r="E611" s="511">
        <v>25</v>
      </c>
      <c r="F611" s="508" t="s">
        <v>887</v>
      </c>
      <c r="G611" s="490" t="s">
        <v>19</v>
      </c>
      <c r="H611" s="512">
        <f>193.3+28.3</f>
        <v>221.60000000000002</v>
      </c>
      <c r="I611" s="235" t="s">
        <v>49</v>
      </c>
      <c r="J611" s="79" t="s">
        <v>888</v>
      </c>
      <c r="K611" s="166" t="s">
        <v>864</v>
      </c>
      <c r="L611" s="80">
        <v>132.19999999999999</v>
      </c>
      <c r="M611" s="81" t="s">
        <v>223</v>
      </c>
    </row>
    <row r="612" spans="1:13" x14ac:dyDescent="0.2">
      <c r="A612" s="496">
        <v>6</v>
      </c>
      <c r="B612" s="506"/>
      <c r="C612" s="506"/>
      <c r="D612" s="507"/>
      <c r="E612" s="511">
        <v>25</v>
      </c>
      <c r="F612" s="508" t="s">
        <v>887</v>
      </c>
      <c r="G612" s="489" t="s">
        <v>248</v>
      </c>
      <c r="H612" s="512"/>
      <c r="I612" s="235" t="s">
        <v>49</v>
      </c>
      <c r="J612" s="79" t="s">
        <v>641</v>
      </c>
      <c r="K612" s="166" t="s">
        <v>641</v>
      </c>
      <c r="L612" s="80" t="s">
        <v>641</v>
      </c>
      <c r="M612" s="81" t="s">
        <v>223</v>
      </c>
    </row>
    <row r="613" spans="1:13" x14ac:dyDescent="0.2">
      <c r="A613" s="496">
        <v>6</v>
      </c>
      <c r="B613" s="506"/>
      <c r="C613" s="506"/>
      <c r="D613" s="507"/>
      <c r="E613" s="511"/>
      <c r="F613" s="508" t="s">
        <v>887</v>
      </c>
      <c r="G613" s="513" t="s">
        <v>247</v>
      </c>
      <c r="H613" s="220">
        <f t="shared" ref="H613" si="6">SUM(H611:H612)</f>
        <v>221.60000000000002</v>
      </c>
      <c r="I613" s="235" t="s">
        <v>641</v>
      </c>
      <c r="J613" s="79" t="s">
        <v>641</v>
      </c>
      <c r="K613" s="166" t="s">
        <v>641</v>
      </c>
      <c r="L613" s="82" t="s">
        <v>641</v>
      </c>
      <c r="M613" s="83" t="s">
        <v>641</v>
      </c>
    </row>
    <row r="614" spans="1:13" ht="22.5" x14ac:dyDescent="0.2">
      <c r="A614" s="496">
        <v>6</v>
      </c>
      <c r="B614" s="506"/>
      <c r="C614" s="506" t="s">
        <v>889</v>
      </c>
      <c r="D614" s="507" t="s">
        <v>890</v>
      </c>
      <c r="E614" s="511">
        <v>26</v>
      </c>
      <c r="F614" s="508" t="s">
        <v>891</v>
      </c>
      <c r="G614" s="490" t="s">
        <v>19</v>
      </c>
      <c r="H614" s="512">
        <f>270.4+36.3</f>
        <v>306.7</v>
      </c>
      <c r="I614" s="235" t="s">
        <v>49</v>
      </c>
      <c r="J614" s="79" t="s">
        <v>892</v>
      </c>
      <c r="K614" s="166" t="s">
        <v>864</v>
      </c>
      <c r="L614" s="80">
        <v>143.19999999999999</v>
      </c>
      <c r="M614" s="81" t="s">
        <v>190</v>
      </c>
    </row>
    <row r="615" spans="1:13" x14ac:dyDescent="0.2">
      <c r="A615" s="496">
        <v>6</v>
      </c>
      <c r="B615" s="506"/>
      <c r="C615" s="506"/>
      <c r="D615" s="507"/>
      <c r="E615" s="511">
        <v>26</v>
      </c>
      <c r="F615" s="508" t="s">
        <v>891</v>
      </c>
      <c r="G615" s="489" t="s">
        <v>248</v>
      </c>
      <c r="H615" s="512"/>
      <c r="I615" s="235" t="s">
        <v>49</v>
      </c>
      <c r="J615" s="79" t="s">
        <v>641</v>
      </c>
      <c r="K615" s="166" t="s">
        <v>641</v>
      </c>
      <c r="L615" s="80" t="s">
        <v>641</v>
      </c>
      <c r="M615" s="81" t="s">
        <v>190</v>
      </c>
    </row>
    <row r="616" spans="1:13" x14ac:dyDescent="0.2">
      <c r="A616" s="496">
        <v>6</v>
      </c>
      <c r="B616" s="506"/>
      <c r="C616" s="506"/>
      <c r="D616" s="507"/>
      <c r="E616" s="511"/>
      <c r="F616" s="508" t="s">
        <v>891</v>
      </c>
      <c r="G616" s="513" t="s">
        <v>247</v>
      </c>
      <c r="H616" s="220">
        <f t="shared" ref="H616" si="7">SUM(H614:H615)</f>
        <v>306.7</v>
      </c>
      <c r="I616" s="235" t="s">
        <v>641</v>
      </c>
      <c r="J616" s="79" t="s">
        <v>641</v>
      </c>
      <c r="K616" s="166" t="s">
        <v>641</v>
      </c>
      <c r="L616" s="82" t="s">
        <v>641</v>
      </c>
      <c r="M616" s="83" t="s">
        <v>641</v>
      </c>
    </row>
    <row r="617" spans="1:13" ht="22.5" x14ac:dyDescent="0.2">
      <c r="A617" s="496">
        <v>6</v>
      </c>
      <c r="B617" s="506"/>
      <c r="C617" s="506" t="s">
        <v>893</v>
      </c>
      <c r="D617" s="507" t="s">
        <v>894</v>
      </c>
      <c r="E617" s="511">
        <v>27</v>
      </c>
      <c r="F617" s="508" t="s">
        <v>895</v>
      </c>
      <c r="G617" s="490" t="s">
        <v>19</v>
      </c>
      <c r="H617" s="512">
        <f>353.2+49.7</f>
        <v>402.9</v>
      </c>
      <c r="I617" s="235" t="s">
        <v>49</v>
      </c>
      <c r="J617" s="79" t="s">
        <v>896</v>
      </c>
      <c r="K617" s="166" t="s">
        <v>864</v>
      </c>
      <c r="L617" s="80">
        <v>91.2</v>
      </c>
      <c r="M617" s="81" t="s">
        <v>183</v>
      </c>
    </row>
    <row r="618" spans="1:13" x14ac:dyDescent="0.2">
      <c r="A618" s="496">
        <v>6</v>
      </c>
      <c r="B618" s="506"/>
      <c r="C618" s="506"/>
      <c r="D618" s="507"/>
      <c r="E618" s="511">
        <v>27</v>
      </c>
      <c r="F618" s="508" t="s">
        <v>895</v>
      </c>
      <c r="G618" s="489" t="s">
        <v>248</v>
      </c>
      <c r="H618" s="512"/>
      <c r="I618" s="235" t="s">
        <v>49</v>
      </c>
      <c r="J618" s="79" t="s">
        <v>641</v>
      </c>
      <c r="K618" s="166" t="s">
        <v>641</v>
      </c>
      <c r="L618" s="80" t="s">
        <v>641</v>
      </c>
      <c r="M618" s="81" t="s">
        <v>183</v>
      </c>
    </row>
    <row r="619" spans="1:13" x14ac:dyDescent="0.2">
      <c r="A619" s="496">
        <v>6</v>
      </c>
      <c r="B619" s="506"/>
      <c r="C619" s="506"/>
      <c r="D619" s="507"/>
      <c r="E619" s="511"/>
      <c r="F619" s="508" t="s">
        <v>895</v>
      </c>
      <c r="G619" s="513" t="s">
        <v>247</v>
      </c>
      <c r="H619" s="220">
        <f t="shared" ref="H619" si="8">SUM(H617:H618)</f>
        <v>402.9</v>
      </c>
      <c r="I619" s="235" t="s">
        <v>641</v>
      </c>
      <c r="J619" s="79" t="s">
        <v>641</v>
      </c>
      <c r="K619" s="166" t="s">
        <v>641</v>
      </c>
      <c r="L619" s="82" t="s">
        <v>641</v>
      </c>
      <c r="M619" s="83" t="s">
        <v>641</v>
      </c>
    </row>
    <row r="620" spans="1:13" ht="21.6" customHeight="1" x14ac:dyDescent="0.2">
      <c r="A620" s="496">
        <v>6</v>
      </c>
      <c r="B620" s="506"/>
      <c r="C620" s="506" t="s">
        <v>897</v>
      </c>
      <c r="D620" s="507" t="s">
        <v>898</v>
      </c>
      <c r="E620" s="511">
        <v>28</v>
      </c>
      <c r="F620" s="508" t="s">
        <v>899</v>
      </c>
      <c r="G620" s="490" t="s">
        <v>19</v>
      </c>
      <c r="H620" s="512">
        <f>148.6+22.4</f>
        <v>171</v>
      </c>
      <c r="I620" s="235" t="s">
        <v>49</v>
      </c>
      <c r="J620" s="79" t="s">
        <v>900</v>
      </c>
      <c r="K620" s="166" t="s">
        <v>864</v>
      </c>
      <c r="L620" s="80">
        <v>127.6</v>
      </c>
      <c r="M620" s="81" t="s">
        <v>198</v>
      </c>
    </row>
    <row r="621" spans="1:13" x14ac:dyDescent="0.2">
      <c r="A621" s="496">
        <v>6</v>
      </c>
      <c r="B621" s="506"/>
      <c r="C621" s="506"/>
      <c r="D621" s="507"/>
      <c r="E621" s="511">
        <v>28</v>
      </c>
      <c r="F621" s="508" t="s">
        <v>899</v>
      </c>
      <c r="G621" s="489" t="s">
        <v>248</v>
      </c>
      <c r="H621" s="512"/>
      <c r="I621" s="235" t="s">
        <v>49</v>
      </c>
      <c r="J621" s="79" t="s">
        <v>641</v>
      </c>
      <c r="K621" s="166" t="s">
        <v>641</v>
      </c>
      <c r="L621" s="80" t="s">
        <v>641</v>
      </c>
      <c r="M621" s="81" t="s">
        <v>198</v>
      </c>
    </row>
    <row r="622" spans="1:13" x14ac:dyDescent="0.2">
      <c r="A622" s="496">
        <v>6</v>
      </c>
      <c r="B622" s="506"/>
      <c r="C622" s="506"/>
      <c r="D622" s="507"/>
      <c r="E622" s="511"/>
      <c r="F622" s="508" t="s">
        <v>899</v>
      </c>
      <c r="G622" s="513" t="s">
        <v>247</v>
      </c>
      <c r="H622" s="220">
        <f t="shared" ref="H622" si="9">SUM(H620:H621)</f>
        <v>171</v>
      </c>
      <c r="I622" s="235" t="s">
        <v>641</v>
      </c>
      <c r="J622" s="79" t="s">
        <v>641</v>
      </c>
      <c r="K622" s="166" t="s">
        <v>641</v>
      </c>
      <c r="L622" s="82" t="s">
        <v>641</v>
      </c>
      <c r="M622" s="83" t="s">
        <v>641</v>
      </c>
    </row>
    <row r="623" spans="1:13" ht="22.5" x14ac:dyDescent="0.2">
      <c r="A623" s="496">
        <v>6</v>
      </c>
      <c r="B623" s="506"/>
      <c r="C623" s="506" t="s">
        <v>901</v>
      </c>
      <c r="D623" s="507" t="s">
        <v>902</v>
      </c>
      <c r="E623" s="511">
        <v>29</v>
      </c>
      <c r="F623" s="508" t="s">
        <v>903</v>
      </c>
      <c r="G623" s="490" t="s">
        <v>19</v>
      </c>
      <c r="H623" s="512">
        <f>199.1+27.8</f>
        <v>226.9</v>
      </c>
      <c r="I623" s="235" t="s">
        <v>49</v>
      </c>
      <c r="J623" s="79" t="s">
        <v>904</v>
      </c>
      <c r="K623" s="166" t="s">
        <v>864</v>
      </c>
      <c r="L623" s="80">
        <v>151.69999999999999</v>
      </c>
      <c r="M623" s="81" t="s">
        <v>222</v>
      </c>
    </row>
    <row r="624" spans="1:13" x14ac:dyDescent="0.2">
      <c r="A624" s="496">
        <v>6</v>
      </c>
      <c r="B624" s="506"/>
      <c r="C624" s="506"/>
      <c r="D624" s="507"/>
      <c r="E624" s="511">
        <v>29</v>
      </c>
      <c r="F624" s="508" t="s">
        <v>903</v>
      </c>
      <c r="G624" s="489" t="s">
        <v>248</v>
      </c>
      <c r="H624" s="512"/>
      <c r="I624" s="235" t="s">
        <v>49</v>
      </c>
      <c r="J624" s="79" t="s">
        <v>641</v>
      </c>
      <c r="K624" s="166" t="s">
        <v>641</v>
      </c>
      <c r="L624" s="80" t="s">
        <v>641</v>
      </c>
      <c r="M624" s="81" t="s">
        <v>222</v>
      </c>
    </row>
    <row r="625" spans="1:13" x14ac:dyDescent="0.2">
      <c r="A625" s="496">
        <v>6</v>
      </c>
      <c r="B625" s="506"/>
      <c r="C625" s="506"/>
      <c r="D625" s="507"/>
      <c r="E625" s="511"/>
      <c r="F625" s="508" t="s">
        <v>903</v>
      </c>
      <c r="G625" s="513" t="s">
        <v>247</v>
      </c>
      <c r="H625" s="220">
        <f t="shared" ref="H625" si="10">SUM(H623:H624)</f>
        <v>226.9</v>
      </c>
      <c r="I625" s="235" t="s">
        <v>641</v>
      </c>
      <c r="J625" s="79" t="s">
        <v>641</v>
      </c>
      <c r="K625" s="166" t="s">
        <v>641</v>
      </c>
      <c r="L625" s="82" t="s">
        <v>641</v>
      </c>
      <c r="M625" s="83" t="s">
        <v>641</v>
      </c>
    </row>
    <row r="626" spans="1:13" ht="33.75" x14ac:dyDescent="0.2">
      <c r="A626" s="496">
        <v>6</v>
      </c>
      <c r="B626" s="506"/>
      <c r="C626" s="506" t="s">
        <v>905</v>
      </c>
      <c r="D626" s="287" t="s">
        <v>906</v>
      </c>
      <c r="E626" s="511">
        <v>9</v>
      </c>
      <c r="F626" s="508" t="s">
        <v>907</v>
      </c>
      <c r="G626" s="490" t="s">
        <v>19</v>
      </c>
      <c r="H626" s="512">
        <f>500-300+60.8-12.3</f>
        <v>248.5</v>
      </c>
      <c r="I626" s="235" t="s">
        <v>49</v>
      </c>
      <c r="J626" s="79" t="s">
        <v>221</v>
      </c>
      <c r="K626" s="166" t="s">
        <v>908</v>
      </c>
      <c r="L626" s="80">
        <v>100</v>
      </c>
      <c r="M626" s="81" t="s">
        <v>641</v>
      </c>
    </row>
    <row r="627" spans="1:13" x14ac:dyDescent="0.2">
      <c r="A627" s="496">
        <v>6</v>
      </c>
      <c r="B627" s="506"/>
      <c r="C627" s="506"/>
      <c r="D627" s="287"/>
      <c r="E627" s="511"/>
      <c r="F627" s="508" t="s">
        <v>907</v>
      </c>
      <c r="G627" s="490" t="s">
        <v>248</v>
      </c>
      <c r="H627" s="512"/>
      <c r="I627" s="235" t="s">
        <v>641</v>
      </c>
      <c r="J627" s="79" t="s">
        <v>641</v>
      </c>
      <c r="K627" s="166" t="s">
        <v>641</v>
      </c>
      <c r="L627" s="80" t="s">
        <v>641</v>
      </c>
      <c r="M627" s="81" t="s">
        <v>641</v>
      </c>
    </row>
    <row r="628" spans="1:13" x14ac:dyDescent="0.2">
      <c r="A628" s="496">
        <v>6</v>
      </c>
      <c r="B628" s="506"/>
      <c r="C628" s="506"/>
      <c r="D628" s="507"/>
      <c r="E628" s="511"/>
      <c r="F628" s="508" t="s">
        <v>907</v>
      </c>
      <c r="G628" s="513" t="s">
        <v>247</v>
      </c>
      <c r="H628" s="220">
        <f>SUM(H626:H627)</f>
        <v>248.5</v>
      </c>
      <c r="I628" s="235" t="s">
        <v>641</v>
      </c>
      <c r="J628" s="79" t="s">
        <v>641</v>
      </c>
      <c r="K628" s="166" t="s">
        <v>641</v>
      </c>
      <c r="L628" s="82" t="s">
        <v>641</v>
      </c>
      <c r="M628" s="84" t="s">
        <v>641</v>
      </c>
    </row>
    <row r="629" spans="1:13" ht="33.75" x14ac:dyDescent="0.2">
      <c r="A629" s="496">
        <v>6</v>
      </c>
      <c r="B629" s="514"/>
      <c r="C629" s="506" t="s">
        <v>909</v>
      </c>
      <c r="D629" s="515" t="s">
        <v>910</v>
      </c>
      <c r="E629" s="511" t="s">
        <v>911</v>
      </c>
      <c r="F629" s="508" t="s">
        <v>912</v>
      </c>
      <c r="G629" s="490" t="s">
        <v>19</v>
      </c>
      <c r="H629" s="516">
        <f>70-7</f>
        <v>63</v>
      </c>
      <c r="I629" s="235" t="s">
        <v>64</v>
      </c>
      <c r="J629" s="79" t="s">
        <v>913</v>
      </c>
      <c r="K629" s="166" t="s">
        <v>908</v>
      </c>
      <c r="L629" s="80">
        <v>100</v>
      </c>
      <c r="M629" s="85" t="s">
        <v>641</v>
      </c>
    </row>
    <row r="630" spans="1:13" x14ac:dyDescent="0.2">
      <c r="A630" s="496">
        <v>6</v>
      </c>
      <c r="B630" s="514"/>
      <c r="C630" s="514"/>
      <c r="D630" s="507"/>
      <c r="E630" s="511" t="s">
        <v>911</v>
      </c>
      <c r="F630" s="508" t="s">
        <v>912</v>
      </c>
      <c r="G630" s="489" t="s">
        <v>248</v>
      </c>
      <c r="H630" s="512"/>
      <c r="I630" s="235" t="s">
        <v>64</v>
      </c>
      <c r="J630" s="76" t="s">
        <v>641</v>
      </c>
      <c r="K630" s="166" t="s">
        <v>641</v>
      </c>
      <c r="L630" s="80" t="s">
        <v>641</v>
      </c>
      <c r="M630" s="81" t="s">
        <v>641</v>
      </c>
    </row>
    <row r="631" spans="1:13" x14ac:dyDescent="0.2">
      <c r="A631" s="496">
        <v>6</v>
      </c>
      <c r="B631" s="514"/>
      <c r="C631" s="514"/>
      <c r="D631" s="507"/>
      <c r="E631" s="511"/>
      <c r="F631" s="508" t="s">
        <v>912</v>
      </c>
      <c r="G631" s="513" t="s">
        <v>247</v>
      </c>
      <c r="H631" s="220">
        <f>SUM(H629:H630)</f>
        <v>63</v>
      </c>
      <c r="I631" s="235" t="s">
        <v>641</v>
      </c>
      <c r="J631" s="79" t="s">
        <v>641</v>
      </c>
      <c r="K631" s="166" t="s">
        <v>641</v>
      </c>
      <c r="L631" s="82" t="s">
        <v>641</v>
      </c>
      <c r="M631" s="83" t="s">
        <v>641</v>
      </c>
    </row>
    <row r="632" spans="1:13" ht="22.5" x14ac:dyDescent="0.2">
      <c r="A632" s="496">
        <v>6</v>
      </c>
      <c r="B632" s="497"/>
      <c r="C632" s="497"/>
      <c r="D632" s="498" t="s">
        <v>914</v>
      </c>
      <c r="E632" s="517"/>
      <c r="F632" s="518"/>
      <c r="G632" s="519"/>
      <c r="H632" s="520"/>
      <c r="I632" s="503" t="s">
        <v>641</v>
      </c>
      <c r="J632" s="86" t="s">
        <v>641</v>
      </c>
      <c r="K632" s="167" t="s">
        <v>641</v>
      </c>
      <c r="L632" s="87" t="s">
        <v>641</v>
      </c>
      <c r="M632" s="88" t="s">
        <v>641</v>
      </c>
    </row>
    <row r="633" spans="1:13" ht="22.5" x14ac:dyDescent="0.2">
      <c r="A633" s="496">
        <v>6</v>
      </c>
      <c r="B633" s="231" t="s">
        <v>915</v>
      </c>
      <c r="C633" s="231" t="s">
        <v>915</v>
      </c>
      <c r="D633" s="504" t="s">
        <v>916</v>
      </c>
      <c r="E633" s="505"/>
      <c r="F633" s="505"/>
      <c r="G633" s="521"/>
      <c r="H633" s="521"/>
      <c r="I633" s="235" t="s">
        <v>641</v>
      </c>
      <c r="J633" s="79" t="s">
        <v>641</v>
      </c>
      <c r="K633" s="166" t="s">
        <v>641</v>
      </c>
      <c r="L633" s="82" t="s">
        <v>641</v>
      </c>
      <c r="M633" s="83" t="s">
        <v>641</v>
      </c>
    </row>
    <row r="634" spans="1:13" ht="22.5" x14ac:dyDescent="0.2">
      <c r="A634" s="496">
        <v>6</v>
      </c>
      <c r="B634" s="506"/>
      <c r="C634" s="814"/>
      <c r="D634" s="507"/>
      <c r="E634" s="508"/>
      <c r="F634" s="815"/>
      <c r="G634" s="509" t="s">
        <v>857</v>
      </c>
      <c r="H634" s="509">
        <f>SUM(H645,H648,H649,H650,H651,H669,H682,H652,H653,H659,H661,H647,H644,H685,H686,H663,H665,H666,H667,H668)</f>
        <v>2494.2000000000007</v>
      </c>
      <c r="I634" s="235" t="s">
        <v>641</v>
      </c>
      <c r="J634" s="79" t="s">
        <v>641</v>
      </c>
      <c r="K634" s="168" t="s">
        <v>641</v>
      </c>
      <c r="L634" s="89" t="s">
        <v>641</v>
      </c>
      <c r="M634" s="90" t="s">
        <v>641</v>
      </c>
    </row>
    <row r="635" spans="1:13" x14ac:dyDescent="0.2">
      <c r="A635" s="496">
        <v>6</v>
      </c>
      <c r="B635" s="506"/>
      <c r="C635" s="814"/>
      <c r="D635" s="507"/>
      <c r="E635" s="508"/>
      <c r="F635" s="815"/>
      <c r="G635" s="509" t="s">
        <v>22</v>
      </c>
      <c r="H635" s="509">
        <f>SUM(H646,H655,H687,H684)</f>
        <v>31.2</v>
      </c>
      <c r="I635" s="235" t="s">
        <v>641</v>
      </c>
      <c r="J635" s="79" t="s">
        <v>641</v>
      </c>
      <c r="K635" s="169" t="s">
        <v>641</v>
      </c>
      <c r="L635" s="89" t="s">
        <v>641</v>
      </c>
      <c r="M635" s="92" t="s">
        <v>641</v>
      </c>
    </row>
    <row r="636" spans="1:13" x14ac:dyDescent="0.2">
      <c r="A636" s="496">
        <v>6</v>
      </c>
      <c r="B636" s="506"/>
      <c r="C636" s="814"/>
      <c r="D636" s="507"/>
      <c r="E636" s="508"/>
      <c r="F636" s="815"/>
      <c r="G636" s="509" t="s">
        <v>589</v>
      </c>
      <c r="H636" s="509"/>
      <c r="I636" s="235" t="s">
        <v>641</v>
      </c>
      <c r="J636" s="79" t="s">
        <v>641</v>
      </c>
      <c r="K636" s="166" t="s">
        <v>641</v>
      </c>
      <c r="L636" s="89" t="s">
        <v>641</v>
      </c>
      <c r="M636" s="93" t="s">
        <v>641</v>
      </c>
    </row>
    <row r="637" spans="1:13" x14ac:dyDescent="0.2">
      <c r="A637" s="496">
        <v>6</v>
      </c>
      <c r="B637" s="506"/>
      <c r="C637" s="814"/>
      <c r="D637" s="507"/>
      <c r="E637" s="508"/>
      <c r="F637" s="815"/>
      <c r="G637" s="509" t="s">
        <v>21</v>
      </c>
      <c r="H637" s="509">
        <f>SUM(H658,H662)</f>
        <v>1271</v>
      </c>
      <c r="I637" s="235" t="s">
        <v>641</v>
      </c>
      <c r="J637" s="79" t="s">
        <v>641</v>
      </c>
      <c r="K637" s="166" t="s">
        <v>641</v>
      </c>
      <c r="L637" s="89" t="s">
        <v>641</v>
      </c>
      <c r="M637" s="93" t="s">
        <v>641</v>
      </c>
    </row>
    <row r="638" spans="1:13" x14ac:dyDescent="0.2">
      <c r="A638" s="496">
        <v>6</v>
      </c>
      <c r="B638" s="506"/>
      <c r="C638" s="814"/>
      <c r="D638" s="507"/>
      <c r="E638" s="508"/>
      <c r="F638" s="815"/>
      <c r="G638" s="509" t="s">
        <v>917</v>
      </c>
      <c r="H638" s="509">
        <f>SUM(H660)</f>
        <v>0</v>
      </c>
      <c r="I638" s="235" t="s">
        <v>641</v>
      </c>
      <c r="J638" s="79" t="s">
        <v>641</v>
      </c>
      <c r="K638" s="166" t="s">
        <v>641</v>
      </c>
      <c r="L638" s="89" t="s">
        <v>641</v>
      </c>
      <c r="M638" s="93" t="s">
        <v>641</v>
      </c>
    </row>
    <row r="639" spans="1:13" x14ac:dyDescent="0.2">
      <c r="A639" s="496">
        <v>6</v>
      </c>
      <c r="B639" s="506"/>
      <c r="C639" s="814"/>
      <c r="D639" s="507"/>
      <c r="E639" s="508"/>
      <c r="F639" s="815"/>
      <c r="G639" s="509" t="s">
        <v>177</v>
      </c>
      <c r="H639" s="509">
        <f>SUM(H654,H670,)</f>
        <v>1200</v>
      </c>
      <c r="I639" s="235"/>
      <c r="J639" s="79"/>
      <c r="K639" s="166"/>
      <c r="L639" s="89"/>
      <c r="M639" s="93"/>
    </row>
    <row r="640" spans="1:13" x14ac:dyDescent="0.2">
      <c r="A640" s="496">
        <v>6</v>
      </c>
      <c r="B640" s="506"/>
      <c r="C640" s="814"/>
      <c r="D640" s="507"/>
      <c r="E640" s="508"/>
      <c r="F640" s="815"/>
      <c r="G640" s="509" t="s">
        <v>56</v>
      </c>
      <c r="H640" s="509">
        <f>SUM(H657)</f>
        <v>645.70000000000005</v>
      </c>
      <c r="I640" s="235" t="s">
        <v>641</v>
      </c>
      <c r="J640" s="79" t="s">
        <v>641</v>
      </c>
      <c r="K640" s="166" t="s">
        <v>641</v>
      </c>
      <c r="L640" s="94" t="s">
        <v>641</v>
      </c>
      <c r="M640" s="95" t="s">
        <v>641</v>
      </c>
    </row>
    <row r="641" spans="1:13" x14ac:dyDescent="0.2">
      <c r="A641" s="496">
        <v>6</v>
      </c>
      <c r="B641" s="506"/>
      <c r="C641" s="814"/>
      <c r="D641" s="507"/>
      <c r="E641" s="508"/>
      <c r="F641" s="815"/>
      <c r="G641" s="509" t="s">
        <v>176</v>
      </c>
      <c r="H641" s="509">
        <f>H656</f>
        <v>97.199999999999989</v>
      </c>
      <c r="I641" s="235" t="s">
        <v>641</v>
      </c>
      <c r="J641" s="79" t="s">
        <v>641</v>
      </c>
      <c r="K641" s="166" t="s">
        <v>641</v>
      </c>
      <c r="L641" s="94" t="s">
        <v>641</v>
      </c>
      <c r="M641" s="96" t="s">
        <v>641</v>
      </c>
    </row>
    <row r="642" spans="1:13" x14ac:dyDescent="0.2">
      <c r="A642" s="496">
        <v>6</v>
      </c>
      <c r="B642" s="506"/>
      <c r="C642" s="506"/>
      <c r="D642" s="507"/>
      <c r="E642" s="508"/>
      <c r="F642" s="815"/>
      <c r="G642" s="509" t="s">
        <v>249</v>
      </c>
      <c r="H642" s="509">
        <f>SUM(H671,H664)</f>
        <v>525.79999999999995</v>
      </c>
      <c r="I642" s="202"/>
      <c r="J642" s="155"/>
      <c r="K642" s="161"/>
      <c r="L642" s="45"/>
      <c r="M642" s="85"/>
    </row>
    <row r="643" spans="1:13" x14ac:dyDescent="0.2">
      <c r="A643" s="496">
        <v>6</v>
      </c>
      <c r="B643" s="506"/>
      <c r="C643" s="506"/>
      <c r="D643" s="522"/>
      <c r="E643" s="508"/>
      <c r="F643" s="815"/>
      <c r="G643" s="509" t="s">
        <v>24</v>
      </c>
      <c r="H643" s="509">
        <f>SUM(H634:H642)</f>
        <v>6265.1</v>
      </c>
      <c r="I643" s="202"/>
      <c r="J643" s="155"/>
      <c r="K643" s="161"/>
      <c r="L643" s="45"/>
      <c r="M643" s="85"/>
    </row>
    <row r="644" spans="1:13" ht="22.5" x14ac:dyDescent="0.2">
      <c r="A644" s="496">
        <v>6</v>
      </c>
      <c r="B644" s="506"/>
      <c r="C644" s="506" t="s">
        <v>918</v>
      </c>
      <c r="D644" s="522" t="s">
        <v>919</v>
      </c>
      <c r="E644" s="496">
        <v>9</v>
      </c>
      <c r="F644" s="526" t="s">
        <v>920</v>
      </c>
      <c r="G644" s="524" t="s">
        <v>19</v>
      </c>
      <c r="H644" s="527">
        <v>16</v>
      </c>
      <c r="I644" s="235" t="s">
        <v>196</v>
      </c>
      <c r="J644" s="79" t="s">
        <v>2131</v>
      </c>
      <c r="K644" s="166" t="s">
        <v>921</v>
      </c>
      <c r="L644" s="80">
        <v>1</v>
      </c>
      <c r="M644" s="81" t="s">
        <v>183</v>
      </c>
    </row>
    <row r="645" spans="1:13" ht="22.5" x14ac:dyDescent="0.2">
      <c r="A645" s="496">
        <v>6</v>
      </c>
      <c r="B645" s="528"/>
      <c r="C645" s="506" t="s">
        <v>922</v>
      </c>
      <c r="D645" s="1036" t="s">
        <v>923</v>
      </c>
      <c r="E645" s="496">
        <v>9</v>
      </c>
      <c r="F645" s="529" t="s">
        <v>924</v>
      </c>
      <c r="G645" s="524" t="s">
        <v>19</v>
      </c>
      <c r="H645" s="527">
        <v>83</v>
      </c>
      <c r="I645" s="235" t="s">
        <v>58</v>
      </c>
      <c r="J645" s="79" t="s">
        <v>2107</v>
      </c>
      <c r="K645" s="166" t="s">
        <v>925</v>
      </c>
      <c r="L645" s="82">
        <v>100</v>
      </c>
      <c r="M645" s="81" t="s">
        <v>183</v>
      </c>
    </row>
    <row r="646" spans="1:13" x14ac:dyDescent="0.2">
      <c r="A646" s="496">
        <v>6</v>
      </c>
      <c r="B646" s="528"/>
      <c r="C646" s="506" t="s">
        <v>922</v>
      </c>
      <c r="D646" s="1037"/>
      <c r="E646" s="511">
        <v>9</v>
      </c>
      <c r="F646" s="530" t="s">
        <v>924</v>
      </c>
      <c r="G646" s="524" t="s">
        <v>22</v>
      </c>
      <c r="H646" s="527"/>
      <c r="I646" s="531" t="s">
        <v>58</v>
      </c>
      <c r="J646" s="79" t="s">
        <v>641</v>
      </c>
      <c r="K646" s="167" t="s">
        <v>641</v>
      </c>
      <c r="L646" s="87" t="s">
        <v>641</v>
      </c>
      <c r="M646" s="97" t="s">
        <v>183</v>
      </c>
    </row>
    <row r="647" spans="1:13" ht="33.75" x14ac:dyDescent="0.2">
      <c r="A647" s="496">
        <v>6</v>
      </c>
      <c r="B647" s="528"/>
      <c r="C647" s="528" t="s">
        <v>926</v>
      </c>
      <c r="D647" s="278" t="s">
        <v>927</v>
      </c>
      <c r="E647" s="532">
        <v>9</v>
      </c>
      <c r="F647" s="529" t="s">
        <v>928</v>
      </c>
      <c r="G647" s="281" t="s">
        <v>19</v>
      </c>
      <c r="H647" s="527">
        <f>300+45-345</f>
        <v>0</v>
      </c>
      <c r="I647" s="531" t="s">
        <v>196</v>
      </c>
      <c r="J647" s="91" t="s">
        <v>2132</v>
      </c>
      <c r="K647" s="169" t="s">
        <v>929</v>
      </c>
      <c r="L647" s="98" t="s">
        <v>930</v>
      </c>
      <c r="M647" s="99" t="s">
        <v>67</v>
      </c>
    </row>
    <row r="648" spans="1:13" ht="22.5" x14ac:dyDescent="0.2">
      <c r="A648" s="496">
        <v>6</v>
      </c>
      <c r="B648" s="506"/>
      <c r="C648" s="506" t="s">
        <v>931</v>
      </c>
      <c r="D648" s="256" t="s">
        <v>932</v>
      </c>
      <c r="E648" s="511">
        <v>9</v>
      </c>
      <c r="F648" s="529" t="s">
        <v>933</v>
      </c>
      <c r="G648" s="524" t="s">
        <v>19</v>
      </c>
      <c r="H648" s="527">
        <v>118</v>
      </c>
      <c r="I648" s="531" t="s">
        <v>58</v>
      </c>
      <c r="J648" s="79" t="s">
        <v>65</v>
      </c>
      <c r="K648" s="166" t="s">
        <v>934</v>
      </c>
      <c r="L648" s="100">
        <v>100</v>
      </c>
      <c r="M648" s="83" t="s">
        <v>67</v>
      </c>
    </row>
    <row r="649" spans="1:13" x14ac:dyDescent="0.2">
      <c r="A649" s="496">
        <v>6</v>
      </c>
      <c r="B649" s="533"/>
      <c r="C649" s="533" t="s">
        <v>935</v>
      </c>
      <c r="D649" s="534" t="s">
        <v>936</v>
      </c>
      <c r="E649" s="535">
        <v>9</v>
      </c>
      <c r="F649" s="536" t="s">
        <v>937</v>
      </c>
      <c r="G649" s="537" t="s">
        <v>19</v>
      </c>
      <c r="H649" s="527">
        <f>120-120</f>
        <v>0</v>
      </c>
      <c r="I649" s="531" t="s">
        <v>196</v>
      </c>
      <c r="J649" s="79"/>
      <c r="K649" s="166"/>
      <c r="L649" s="98"/>
      <c r="M649" s="83" t="s">
        <v>67</v>
      </c>
    </row>
    <row r="650" spans="1:13" ht="22.5" x14ac:dyDescent="0.2">
      <c r="A650" s="496">
        <v>6</v>
      </c>
      <c r="B650" s="538"/>
      <c r="C650" s="538" t="s">
        <v>938</v>
      </c>
      <c r="D650" s="539" t="s">
        <v>939</v>
      </c>
      <c r="E650" s="540">
        <v>9</v>
      </c>
      <c r="F650" s="541" t="s">
        <v>940</v>
      </c>
      <c r="G650" s="542" t="s">
        <v>19</v>
      </c>
      <c r="H650" s="543">
        <v>50</v>
      </c>
      <c r="I650" s="531" t="s">
        <v>58</v>
      </c>
      <c r="J650" s="79" t="s">
        <v>65</v>
      </c>
      <c r="K650" s="166" t="s">
        <v>941</v>
      </c>
      <c r="L650" s="100">
        <v>1</v>
      </c>
      <c r="M650" s="83" t="s">
        <v>67</v>
      </c>
    </row>
    <row r="651" spans="1:13" ht="45" x14ac:dyDescent="0.2">
      <c r="A651" s="496">
        <v>6</v>
      </c>
      <c r="B651" s="538"/>
      <c r="C651" s="538" t="s">
        <v>942</v>
      </c>
      <c r="D651" s="523" t="s">
        <v>943</v>
      </c>
      <c r="E651" s="540">
        <v>9</v>
      </c>
      <c r="F651" s="544" t="s">
        <v>944</v>
      </c>
      <c r="G651" s="545" t="s">
        <v>19</v>
      </c>
      <c r="H651" s="543">
        <f>300</f>
        <v>300</v>
      </c>
      <c r="I651" s="235" t="s">
        <v>196</v>
      </c>
      <c r="J651" s="79" t="s">
        <v>2107</v>
      </c>
      <c r="K651" s="166" t="s">
        <v>945</v>
      </c>
      <c r="L651" s="100">
        <v>10</v>
      </c>
      <c r="M651" s="83" t="s">
        <v>67</v>
      </c>
    </row>
    <row r="652" spans="1:13" ht="22.5" x14ac:dyDescent="0.2">
      <c r="A652" s="496">
        <v>6</v>
      </c>
      <c r="B652" s="506"/>
      <c r="C652" s="533" t="s">
        <v>946</v>
      </c>
      <c r="D652" s="816" t="s">
        <v>947</v>
      </c>
      <c r="E652" s="535">
        <v>9</v>
      </c>
      <c r="F652" s="546" t="s">
        <v>948</v>
      </c>
      <c r="G652" s="547" t="s">
        <v>19</v>
      </c>
      <c r="H652" s="548">
        <v>50</v>
      </c>
      <c r="I652" s="235" t="s">
        <v>196</v>
      </c>
      <c r="J652" s="79" t="s">
        <v>2107</v>
      </c>
      <c r="K652" s="166" t="s">
        <v>949</v>
      </c>
      <c r="L652" s="100">
        <v>1</v>
      </c>
      <c r="M652" s="84" t="s">
        <v>223</v>
      </c>
    </row>
    <row r="653" spans="1:13" x14ac:dyDescent="0.2">
      <c r="A653" s="496">
        <v>6</v>
      </c>
      <c r="B653" s="506"/>
      <c r="C653" s="538" t="s">
        <v>950</v>
      </c>
      <c r="D653" s="1038" t="s">
        <v>951</v>
      </c>
      <c r="E653" s="553">
        <v>9</v>
      </c>
      <c r="F653" s="552" t="s">
        <v>952</v>
      </c>
      <c r="G653" s="554" t="s">
        <v>19</v>
      </c>
      <c r="H653" s="543">
        <f>1045-900</f>
        <v>145</v>
      </c>
      <c r="I653" s="531" t="s">
        <v>181</v>
      </c>
      <c r="J653" s="79" t="s">
        <v>2133</v>
      </c>
      <c r="K653" s="166" t="s">
        <v>945</v>
      </c>
      <c r="L653" s="100">
        <v>100</v>
      </c>
      <c r="M653" s="84" t="s">
        <v>183</v>
      </c>
    </row>
    <row r="654" spans="1:13" x14ac:dyDescent="0.2">
      <c r="A654" s="496">
        <v>6</v>
      </c>
      <c r="B654" s="533"/>
      <c r="C654" s="538" t="s">
        <v>950</v>
      </c>
      <c r="D654" s="1038"/>
      <c r="E654" s="553">
        <v>9</v>
      </c>
      <c r="F654" s="552" t="s">
        <v>952</v>
      </c>
      <c r="G654" s="490" t="s">
        <v>177</v>
      </c>
      <c r="H654" s="543">
        <v>900</v>
      </c>
      <c r="I654" s="531"/>
      <c r="J654" s="79" t="s">
        <v>2133</v>
      </c>
      <c r="K654" s="166"/>
      <c r="L654" s="100"/>
      <c r="M654" s="101"/>
    </row>
    <row r="655" spans="1:13" x14ac:dyDescent="0.2">
      <c r="A655" s="496">
        <v>6</v>
      </c>
      <c r="B655" s="533"/>
      <c r="C655" s="538" t="s">
        <v>950</v>
      </c>
      <c r="D655" s="1039"/>
      <c r="E655" s="540">
        <v>9</v>
      </c>
      <c r="F655" s="552" t="s">
        <v>952</v>
      </c>
      <c r="G655" s="545" t="s">
        <v>22</v>
      </c>
      <c r="H655" s="551"/>
      <c r="I655" s="531" t="s">
        <v>181</v>
      </c>
      <c r="J655" s="79" t="s">
        <v>2133</v>
      </c>
      <c r="K655" s="166"/>
      <c r="L655" s="100"/>
      <c r="M655" s="101" t="s">
        <v>183</v>
      </c>
    </row>
    <row r="656" spans="1:13" x14ac:dyDescent="0.2">
      <c r="A656" s="496">
        <v>6</v>
      </c>
      <c r="B656" s="533"/>
      <c r="C656" s="538" t="s">
        <v>950</v>
      </c>
      <c r="D656" s="1039"/>
      <c r="E656" s="540">
        <v>9</v>
      </c>
      <c r="F656" s="552" t="s">
        <v>952</v>
      </c>
      <c r="G656" s="545" t="s">
        <v>176</v>
      </c>
      <c r="H656" s="551">
        <v>97.199999999999989</v>
      </c>
      <c r="I656" s="531" t="s">
        <v>181</v>
      </c>
      <c r="J656" s="79" t="s">
        <v>2133</v>
      </c>
      <c r="K656" s="166" t="s">
        <v>641</v>
      </c>
      <c r="L656" s="82" t="s">
        <v>641</v>
      </c>
      <c r="M656" s="83" t="s">
        <v>183</v>
      </c>
    </row>
    <row r="657" spans="1:13" x14ac:dyDescent="0.2">
      <c r="A657" s="496">
        <v>6</v>
      </c>
      <c r="B657" s="506"/>
      <c r="C657" s="538" t="s">
        <v>950</v>
      </c>
      <c r="D657" s="1039"/>
      <c r="E657" s="555">
        <v>9</v>
      </c>
      <c r="F657" s="552" t="s">
        <v>952</v>
      </c>
      <c r="G657" s="556" t="s">
        <v>56</v>
      </c>
      <c r="H657" s="551">
        <v>645.70000000000005</v>
      </c>
      <c r="I657" s="531" t="s">
        <v>181</v>
      </c>
      <c r="J657" s="79" t="s">
        <v>2133</v>
      </c>
      <c r="K657" s="166" t="s">
        <v>641</v>
      </c>
      <c r="L657" s="82" t="s">
        <v>641</v>
      </c>
      <c r="M657" s="83" t="s">
        <v>183</v>
      </c>
    </row>
    <row r="658" spans="1:13" ht="33.75" x14ac:dyDescent="0.2">
      <c r="A658" s="496">
        <v>6</v>
      </c>
      <c r="B658" s="558"/>
      <c r="C658" s="538" t="s">
        <v>953</v>
      </c>
      <c r="D658" s="559" t="s">
        <v>954</v>
      </c>
      <c r="E658" s="560">
        <v>9</v>
      </c>
      <c r="F658" s="561" t="s">
        <v>955</v>
      </c>
      <c r="G658" s="562" t="s">
        <v>21</v>
      </c>
      <c r="H658" s="527">
        <f>1159+30</f>
        <v>1189</v>
      </c>
      <c r="I658" s="531" t="s">
        <v>58</v>
      </c>
      <c r="J658" s="79" t="s">
        <v>2131</v>
      </c>
      <c r="K658" s="166" t="s">
        <v>956</v>
      </c>
      <c r="L658" s="82">
        <v>1</v>
      </c>
      <c r="M658" s="83" t="s">
        <v>190</v>
      </c>
    </row>
    <row r="659" spans="1:13" ht="25.5" customHeight="1" x14ac:dyDescent="0.2">
      <c r="A659" s="496">
        <v>6</v>
      </c>
      <c r="B659" s="506"/>
      <c r="C659" s="538" t="s">
        <v>957</v>
      </c>
      <c r="D659" s="1026" t="s">
        <v>958</v>
      </c>
      <c r="E659" s="511">
        <v>9</v>
      </c>
      <c r="F659" s="508" t="s">
        <v>959</v>
      </c>
      <c r="G659" s="281" t="s">
        <v>19</v>
      </c>
      <c r="H659" s="563">
        <v>100</v>
      </c>
      <c r="I659" s="235" t="s">
        <v>181</v>
      </c>
      <c r="J659" s="79" t="s">
        <v>2131</v>
      </c>
      <c r="K659" s="166" t="s">
        <v>960</v>
      </c>
      <c r="L659" s="82">
        <v>100</v>
      </c>
      <c r="M659" s="97" t="s">
        <v>190</v>
      </c>
    </row>
    <row r="660" spans="1:13" ht="15" customHeight="1" x14ac:dyDescent="0.2">
      <c r="A660" s="496">
        <v>6</v>
      </c>
      <c r="B660" s="506"/>
      <c r="C660" s="538" t="s">
        <v>957</v>
      </c>
      <c r="D660" s="1027"/>
      <c r="E660" s="511">
        <v>9</v>
      </c>
      <c r="F660" s="508" t="s">
        <v>959</v>
      </c>
      <c r="G660" s="524" t="s">
        <v>961</v>
      </c>
      <c r="H660" s="563"/>
      <c r="I660" s="235" t="s">
        <v>181</v>
      </c>
      <c r="J660" s="79" t="s">
        <v>641</v>
      </c>
      <c r="K660" s="166" t="s">
        <v>641</v>
      </c>
      <c r="L660" s="82" t="s">
        <v>641</v>
      </c>
      <c r="M660" s="97" t="s">
        <v>190</v>
      </c>
    </row>
    <row r="661" spans="1:13" ht="22.5" x14ac:dyDescent="0.2">
      <c r="A661" s="496">
        <v>6</v>
      </c>
      <c r="B661" s="506"/>
      <c r="C661" s="564" t="s">
        <v>962</v>
      </c>
      <c r="D661" s="1040" t="s">
        <v>963</v>
      </c>
      <c r="E661" s="511">
        <v>26</v>
      </c>
      <c r="F661" s="508" t="s">
        <v>964</v>
      </c>
      <c r="G661" s="281" t="s">
        <v>19</v>
      </c>
      <c r="H661" s="527">
        <f>81.7-76.9</f>
        <v>4.7999999999999972</v>
      </c>
      <c r="I661" s="235" t="s">
        <v>196</v>
      </c>
      <c r="J661" s="79" t="s">
        <v>2134</v>
      </c>
      <c r="K661" s="166" t="s">
        <v>966</v>
      </c>
      <c r="L661" s="82">
        <v>100</v>
      </c>
      <c r="M661" s="97" t="s">
        <v>190</v>
      </c>
    </row>
    <row r="662" spans="1:13" x14ac:dyDescent="0.2">
      <c r="A662" s="496">
        <v>6</v>
      </c>
      <c r="B662" s="558"/>
      <c r="C662" s="564" t="s">
        <v>962</v>
      </c>
      <c r="D662" s="1041"/>
      <c r="E662" s="511">
        <v>26</v>
      </c>
      <c r="F662" s="508" t="s">
        <v>964</v>
      </c>
      <c r="G662" s="281" t="s">
        <v>21</v>
      </c>
      <c r="H662" s="527">
        <v>82</v>
      </c>
      <c r="I662" s="235"/>
      <c r="J662" s="79"/>
      <c r="K662" s="166"/>
      <c r="L662" s="82"/>
      <c r="M662" s="97"/>
    </row>
    <row r="663" spans="1:13" ht="23.25" customHeight="1" x14ac:dyDescent="0.2">
      <c r="A663" s="496">
        <v>6</v>
      </c>
      <c r="B663" s="558"/>
      <c r="C663" s="538" t="s">
        <v>967</v>
      </c>
      <c r="D663" s="1028" t="s">
        <v>968</v>
      </c>
      <c r="E663" s="511">
        <v>9</v>
      </c>
      <c r="F663" s="565" t="s">
        <v>969</v>
      </c>
      <c r="G663" s="281" t="s">
        <v>19</v>
      </c>
      <c r="H663" s="563"/>
      <c r="I663" s="235" t="s">
        <v>196</v>
      </c>
      <c r="J663" s="79" t="s">
        <v>2131</v>
      </c>
      <c r="K663" s="164" t="s">
        <v>970</v>
      </c>
      <c r="L663" s="102">
        <v>1</v>
      </c>
      <c r="M663" s="97" t="s">
        <v>183</v>
      </c>
    </row>
    <row r="664" spans="1:13" ht="18.600000000000001" customHeight="1" x14ac:dyDescent="0.2">
      <c r="A664" s="496">
        <v>6</v>
      </c>
      <c r="B664" s="558"/>
      <c r="C664" s="566" t="s">
        <v>967</v>
      </c>
      <c r="D664" s="1029"/>
      <c r="E664" s="511">
        <v>9</v>
      </c>
      <c r="F664" s="565" t="s">
        <v>969</v>
      </c>
      <c r="G664" s="281" t="s">
        <v>249</v>
      </c>
      <c r="H664" s="563"/>
      <c r="I664" s="235" t="s">
        <v>641</v>
      </c>
      <c r="J664" s="103" t="s">
        <v>641</v>
      </c>
      <c r="K664" s="164" t="s">
        <v>641</v>
      </c>
      <c r="L664" s="102" t="s">
        <v>641</v>
      </c>
      <c r="M664" s="97" t="s">
        <v>641</v>
      </c>
    </row>
    <row r="665" spans="1:13" ht="22.5" x14ac:dyDescent="0.2">
      <c r="A665" s="496">
        <v>6</v>
      </c>
      <c r="B665" s="558"/>
      <c r="C665" s="566" t="s">
        <v>971</v>
      </c>
      <c r="D665" s="567" t="s">
        <v>972</v>
      </c>
      <c r="E665" s="511">
        <v>9</v>
      </c>
      <c r="F665" s="565" t="s">
        <v>973</v>
      </c>
      <c r="G665" s="281" t="s">
        <v>19</v>
      </c>
      <c r="H665" s="527">
        <f>300-150</f>
        <v>150</v>
      </c>
      <c r="I665" s="235" t="s">
        <v>196</v>
      </c>
      <c r="J665" s="103" t="s">
        <v>2028</v>
      </c>
      <c r="K665" s="164" t="s">
        <v>974</v>
      </c>
      <c r="L665" s="102">
        <v>100</v>
      </c>
      <c r="M665" s="97" t="s">
        <v>223</v>
      </c>
    </row>
    <row r="666" spans="1:13" ht="22.5" x14ac:dyDescent="0.2">
      <c r="A666" s="496">
        <v>6</v>
      </c>
      <c r="B666" s="558"/>
      <c r="C666" s="538" t="s">
        <v>975</v>
      </c>
      <c r="D666" s="567" t="s">
        <v>976</v>
      </c>
      <c r="E666" s="511">
        <v>9</v>
      </c>
      <c r="F666" s="565" t="s">
        <v>977</v>
      </c>
      <c r="G666" s="281" t="s">
        <v>19</v>
      </c>
      <c r="H666" s="527">
        <v>65</v>
      </c>
      <c r="I666" s="235" t="s">
        <v>196</v>
      </c>
      <c r="J666" s="103" t="s">
        <v>1873</v>
      </c>
      <c r="K666" s="164" t="s">
        <v>956</v>
      </c>
      <c r="L666" s="102">
        <v>1</v>
      </c>
      <c r="M666" s="97" t="s">
        <v>223</v>
      </c>
    </row>
    <row r="667" spans="1:13" ht="22.5" x14ac:dyDescent="0.2">
      <c r="A667" s="496">
        <v>6</v>
      </c>
      <c r="B667" s="558"/>
      <c r="C667" s="566" t="s">
        <v>978</v>
      </c>
      <c r="D667" s="567" t="s">
        <v>979</v>
      </c>
      <c r="E667" s="511">
        <v>9</v>
      </c>
      <c r="F667" s="565" t="s">
        <v>980</v>
      </c>
      <c r="G667" s="281" t="s">
        <v>19</v>
      </c>
      <c r="H667" s="563">
        <v>40</v>
      </c>
      <c r="I667" s="235" t="s">
        <v>196</v>
      </c>
      <c r="J667" s="103" t="s">
        <v>65</v>
      </c>
      <c r="K667" s="164" t="s">
        <v>956</v>
      </c>
      <c r="L667" s="102">
        <v>1</v>
      </c>
      <c r="M667" s="97" t="s">
        <v>223</v>
      </c>
    </row>
    <row r="668" spans="1:13" ht="33.75" x14ac:dyDescent="0.2">
      <c r="A668" s="496">
        <v>6</v>
      </c>
      <c r="B668" s="558"/>
      <c r="C668" s="538" t="s">
        <v>981</v>
      </c>
      <c r="D668" s="567" t="s">
        <v>982</v>
      </c>
      <c r="E668" s="511">
        <v>9</v>
      </c>
      <c r="F668" s="565" t="s">
        <v>983</v>
      </c>
      <c r="G668" s="281" t="s">
        <v>19</v>
      </c>
      <c r="H668" s="563">
        <v>30</v>
      </c>
      <c r="I668" s="235" t="s">
        <v>196</v>
      </c>
      <c r="J668" s="103" t="s">
        <v>1873</v>
      </c>
      <c r="K668" s="164" t="s">
        <v>974</v>
      </c>
      <c r="L668" s="102">
        <v>100</v>
      </c>
      <c r="M668" s="97" t="s">
        <v>217</v>
      </c>
    </row>
    <row r="669" spans="1:13" ht="20.25" customHeight="1" x14ac:dyDescent="0.2">
      <c r="A669" s="496">
        <v>6</v>
      </c>
      <c r="B669" s="506"/>
      <c r="C669" s="568" t="s">
        <v>984</v>
      </c>
      <c r="D669" s="1030" t="s">
        <v>985</v>
      </c>
      <c r="E669" s="496">
        <v>9</v>
      </c>
      <c r="F669" s="490" t="s">
        <v>986</v>
      </c>
      <c r="G669" s="569" t="s">
        <v>19</v>
      </c>
      <c r="H669" s="563">
        <f>SUM(H673,H674,H676,H677,H678,H679,H680)</f>
        <v>225.8</v>
      </c>
      <c r="I669" s="235" t="s">
        <v>64</v>
      </c>
      <c r="J669" s="79" t="s">
        <v>2028</v>
      </c>
      <c r="K669" s="166" t="s">
        <v>641</v>
      </c>
      <c r="L669" s="80" t="s">
        <v>641</v>
      </c>
      <c r="M669" s="81" t="s">
        <v>641</v>
      </c>
    </row>
    <row r="670" spans="1:13" x14ac:dyDescent="0.2">
      <c r="A670" s="496">
        <v>6</v>
      </c>
      <c r="B670" s="506"/>
      <c r="C670" s="568"/>
      <c r="D670" s="1031"/>
      <c r="E670" s="496">
        <v>9</v>
      </c>
      <c r="F670" s="490" t="s">
        <v>986</v>
      </c>
      <c r="G670" s="490" t="s">
        <v>177</v>
      </c>
      <c r="H670" s="563">
        <f>SUM(H675,H681)</f>
        <v>300</v>
      </c>
      <c r="I670" s="235"/>
      <c r="J670" s="79"/>
      <c r="K670" s="166"/>
      <c r="L670" s="80"/>
      <c r="M670" s="81"/>
    </row>
    <row r="671" spans="1:13" ht="19.5" customHeight="1" x14ac:dyDescent="0.2">
      <c r="A671" s="496">
        <v>6</v>
      </c>
      <c r="B671" s="506"/>
      <c r="C671" s="506"/>
      <c r="D671" s="1032"/>
      <c r="E671" s="496">
        <v>9</v>
      </c>
      <c r="F671" s="490" t="s">
        <v>986</v>
      </c>
      <c r="G671" s="569" t="s">
        <v>249</v>
      </c>
      <c r="H671" s="512">
        <f>H669+H670</f>
        <v>525.79999999999995</v>
      </c>
      <c r="I671" s="235" t="s">
        <v>641</v>
      </c>
      <c r="J671" s="79" t="s">
        <v>641</v>
      </c>
      <c r="K671" s="166" t="s">
        <v>641</v>
      </c>
      <c r="L671" s="80" t="s">
        <v>641</v>
      </c>
      <c r="M671" s="81" t="s">
        <v>641</v>
      </c>
    </row>
    <row r="672" spans="1:13" x14ac:dyDescent="0.2">
      <c r="A672" s="496">
        <v>6</v>
      </c>
      <c r="B672" s="506"/>
      <c r="C672" s="506"/>
      <c r="D672" s="235"/>
      <c r="E672" s="511"/>
      <c r="F672" s="490" t="s">
        <v>986</v>
      </c>
      <c r="G672" s="513" t="s">
        <v>247</v>
      </c>
      <c r="H672" s="220">
        <f>SUM(H669:H671)</f>
        <v>1051.5999999999999</v>
      </c>
      <c r="I672" s="235" t="s">
        <v>641</v>
      </c>
      <c r="J672" s="79" t="s">
        <v>641</v>
      </c>
      <c r="K672" s="166" t="s">
        <v>641</v>
      </c>
      <c r="L672" s="82" t="s">
        <v>641</v>
      </c>
      <c r="M672" s="83" t="s">
        <v>641</v>
      </c>
    </row>
    <row r="673" spans="1:13" x14ac:dyDescent="0.2">
      <c r="A673" s="496">
        <v>6</v>
      </c>
      <c r="B673" s="506"/>
      <c r="C673" s="506"/>
      <c r="D673" s="570" t="s">
        <v>987</v>
      </c>
      <c r="E673" s="496">
        <v>9</v>
      </c>
      <c r="F673" s="490" t="s">
        <v>986</v>
      </c>
      <c r="G673" s="571" t="s">
        <v>19</v>
      </c>
      <c r="H673" s="219"/>
      <c r="I673" s="235" t="s">
        <v>196</v>
      </c>
      <c r="J673" s="79" t="s">
        <v>2028</v>
      </c>
      <c r="K673" s="166" t="s">
        <v>641</v>
      </c>
      <c r="L673" s="82" t="s">
        <v>641</v>
      </c>
      <c r="M673" s="83" t="s">
        <v>187</v>
      </c>
    </row>
    <row r="674" spans="1:13" x14ac:dyDescent="0.2">
      <c r="A674" s="496">
        <v>6</v>
      </c>
      <c r="B674" s="506"/>
      <c r="C674" s="506"/>
      <c r="D674" s="570" t="s">
        <v>988</v>
      </c>
      <c r="E674" s="496">
        <v>9</v>
      </c>
      <c r="F674" s="490" t="s">
        <v>986</v>
      </c>
      <c r="G674" s="571" t="s">
        <v>19</v>
      </c>
      <c r="H674" s="219">
        <f>170-100</f>
        <v>70</v>
      </c>
      <c r="I674" s="235" t="s">
        <v>196</v>
      </c>
      <c r="J674" s="79" t="s">
        <v>2028</v>
      </c>
      <c r="K674" s="164" t="s">
        <v>974</v>
      </c>
      <c r="L674" s="102">
        <v>90</v>
      </c>
      <c r="M674" s="83" t="s">
        <v>545</v>
      </c>
    </row>
    <row r="675" spans="1:13" x14ac:dyDescent="0.2">
      <c r="A675" s="496">
        <v>6</v>
      </c>
      <c r="B675" s="533"/>
      <c r="C675" s="506"/>
      <c r="D675" s="572"/>
      <c r="E675" s="496">
        <v>9</v>
      </c>
      <c r="F675" s="490" t="s">
        <v>986</v>
      </c>
      <c r="G675" s="490" t="s">
        <v>177</v>
      </c>
      <c r="H675" s="573">
        <f>100</f>
        <v>100</v>
      </c>
      <c r="I675" s="235"/>
      <c r="J675" s="79" t="s">
        <v>2028</v>
      </c>
      <c r="K675" s="166"/>
      <c r="L675" s="82"/>
      <c r="M675" s="83"/>
    </row>
    <row r="676" spans="1:13" x14ac:dyDescent="0.2">
      <c r="A676" s="496">
        <v>6</v>
      </c>
      <c r="B676" s="533"/>
      <c r="C676" s="506"/>
      <c r="D676" s="572" t="s">
        <v>989</v>
      </c>
      <c r="E676" s="535">
        <v>9</v>
      </c>
      <c r="F676" s="574" t="s">
        <v>986</v>
      </c>
      <c r="G676" s="547" t="s">
        <v>19</v>
      </c>
      <c r="H676" s="575">
        <v>25.8</v>
      </c>
      <c r="I676" s="235" t="s">
        <v>196</v>
      </c>
      <c r="J676" s="79" t="s">
        <v>2028</v>
      </c>
      <c r="K676" s="164" t="s">
        <v>974</v>
      </c>
      <c r="L676" s="82">
        <v>100</v>
      </c>
      <c r="M676" s="83" t="s">
        <v>223</v>
      </c>
    </row>
    <row r="677" spans="1:13" ht="22.5" x14ac:dyDescent="0.2">
      <c r="A677" s="496">
        <v>6</v>
      </c>
      <c r="B677" s="538"/>
      <c r="C677" s="506"/>
      <c r="D677" s="576" t="s">
        <v>990</v>
      </c>
      <c r="E677" s="577">
        <v>9</v>
      </c>
      <c r="F677" s="578" t="s">
        <v>986</v>
      </c>
      <c r="G677" s="579" t="s">
        <v>19</v>
      </c>
      <c r="H677" s="580"/>
      <c r="I677" s="235" t="s">
        <v>196</v>
      </c>
      <c r="J677" s="79" t="s">
        <v>2028</v>
      </c>
      <c r="K677" s="166" t="s">
        <v>641</v>
      </c>
      <c r="L677" s="82" t="s">
        <v>641</v>
      </c>
      <c r="M677" s="83" t="s">
        <v>67</v>
      </c>
    </row>
    <row r="678" spans="1:13" x14ac:dyDescent="0.2">
      <c r="A678" s="496">
        <v>6</v>
      </c>
      <c r="B678" s="566"/>
      <c r="C678" s="533"/>
      <c r="D678" s="570" t="s">
        <v>991</v>
      </c>
      <c r="E678" s="496">
        <v>9</v>
      </c>
      <c r="F678" s="490" t="s">
        <v>986</v>
      </c>
      <c r="G678" s="571" t="s">
        <v>19</v>
      </c>
      <c r="H678" s="219"/>
      <c r="I678" s="235" t="s">
        <v>58</v>
      </c>
      <c r="J678" s="79" t="s">
        <v>2028</v>
      </c>
      <c r="K678" s="166" t="s">
        <v>641</v>
      </c>
      <c r="L678" s="82" t="s">
        <v>641</v>
      </c>
      <c r="M678" s="84" t="s">
        <v>190</v>
      </c>
    </row>
    <row r="679" spans="1:13" x14ac:dyDescent="0.2">
      <c r="A679" s="496">
        <v>6</v>
      </c>
      <c r="B679" s="506"/>
      <c r="C679" s="506"/>
      <c r="D679" s="570" t="s">
        <v>992</v>
      </c>
      <c r="E679" s="496">
        <v>9</v>
      </c>
      <c r="F679" s="490" t="s">
        <v>986</v>
      </c>
      <c r="G679" s="571" t="s">
        <v>19</v>
      </c>
      <c r="H679" s="219">
        <v>30</v>
      </c>
      <c r="I679" s="235" t="s">
        <v>58</v>
      </c>
      <c r="J679" s="79" t="s">
        <v>2028</v>
      </c>
      <c r="K679" s="164" t="s">
        <v>974</v>
      </c>
      <c r="L679" s="82">
        <v>90</v>
      </c>
      <c r="M679" s="104" t="s">
        <v>223</v>
      </c>
    </row>
    <row r="680" spans="1:13" ht="22.5" x14ac:dyDescent="0.2">
      <c r="A680" s="496">
        <v>6</v>
      </c>
      <c r="B680" s="506"/>
      <c r="C680" s="506"/>
      <c r="D680" s="570" t="s">
        <v>993</v>
      </c>
      <c r="E680" s="496">
        <v>9</v>
      </c>
      <c r="F680" s="490" t="s">
        <v>986</v>
      </c>
      <c r="G680" s="571" t="s">
        <v>19</v>
      </c>
      <c r="H680" s="219">
        <f>300-230+30</f>
        <v>100</v>
      </c>
      <c r="I680" s="235" t="s">
        <v>196</v>
      </c>
      <c r="J680" s="79" t="s">
        <v>2028</v>
      </c>
      <c r="K680" s="164" t="s">
        <v>974</v>
      </c>
      <c r="L680" s="82">
        <v>80</v>
      </c>
      <c r="M680" s="83" t="s">
        <v>183</v>
      </c>
    </row>
    <row r="681" spans="1:13" x14ac:dyDescent="0.2">
      <c r="A681" s="496">
        <v>6</v>
      </c>
      <c r="B681" s="568"/>
      <c r="C681" s="557"/>
      <c r="D681" s="572"/>
      <c r="E681" s="496">
        <v>9</v>
      </c>
      <c r="F681" s="490" t="s">
        <v>986</v>
      </c>
      <c r="G681" s="490" t="s">
        <v>177</v>
      </c>
      <c r="H681" s="219">
        <f>230-30</f>
        <v>200</v>
      </c>
      <c r="I681" s="235"/>
      <c r="J681" s="79" t="s">
        <v>2028</v>
      </c>
      <c r="K681" s="166"/>
      <c r="L681" s="82"/>
      <c r="M681" s="105"/>
    </row>
    <row r="682" spans="1:13" ht="22.5" x14ac:dyDescent="0.2">
      <c r="A682" s="496">
        <v>6</v>
      </c>
      <c r="B682" s="568"/>
      <c r="C682" s="557" t="s">
        <v>994</v>
      </c>
      <c r="D682" s="1033" t="s">
        <v>995</v>
      </c>
      <c r="E682" s="496">
        <v>9</v>
      </c>
      <c r="F682" s="490" t="s">
        <v>996</v>
      </c>
      <c r="G682" s="571" t="s">
        <v>19</v>
      </c>
      <c r="H682" s="219">
        <f>1200-100</f>
        <v>1100</v>
      </c>
      <c r="I682" s="235" t="s">
        <v>196</v>
      </c>
      <c r="J682" s="79" t="s">
        <v>1873</v>
      </c>
      <c r="K682" s="169" t="s">
        <v>997</v>
      </c>
      <c r="L682" s="98" t="s">
        <v>998</v>
      </c>
      <c r="M682" s="106" t="s">
        <v>641</v>
      </c>
    </row>
    <row r="683" spans="1:13" x14ac:dyDescent="0.2">
      <c r="A683" s="496">
        <v>6</v>
      </c>
      <c r="B683" s="568"/>
      <c r="C683" s="557"/>
      <c r="D683" s="1031"/>
      <c r="E683" s="496">
        <v>9</v>
      </c>
      <c r="F683" s="490" t="s">
        <v>996</v>
      </c>
      <c r="G683" s="581" t="s">
        <v>248</v>
      </c>
      <c r="H683" s="219"/>
      <c r="I683" s="235" t="s">
        <v>641</v>
      </c>
      <c r="J683" s="79" t="s">
        <v>641</v>
      </c>
      <c r="K683" s="169" t="s">
        <v>641</v>
      </c>
      <c r="L683" s="98" t="s">
        <v>641</v>
      </c>
      <c r="M683" s="107" t="s">
        <v>641</v>
      </c>
    </row>
    <row r="684" spans="1:13" x14ac:dyDescent="0.2">
      <c r="A684" s="496">
        <v>6</v>
      </c>
      <c r="B684" s="568"/>
      <c r="C684" s="557"/>
      <c r="D684" s="1032"/>
      <c r="E684" s="496">
        <v>9</v>
      </c>
      <c r="F684" s="490" t="s">
        <v>996</v>
      </c>
      <c r="G684" s="582" t="s">
        <v>22</v>
      </c>
      <c r="H684" s="527"/>
      <c r="I684" s="202"/>
      <c r="J684" s="155"/>
      <c r="K684" s="161"/>
      <c r="L684" s="45"/>
      <c r="M684" s="85"/>
    </row>
    <row r="685" spans="1:13" ht="22.5" x14ac:dyDescent="0.2">
      <c r="A685" s="496">
        <v>6</v>
      </c>
      <c r="B685" s="506"/>
      <c r="C685" s="558" t="s">
        <v>999</v>
      </c>
      <c r="D685" s="583" t="s">
        <v>1000</v>
      </c>
      <c r="E685" s="496">
        <v>9</v>
      </c>
      <c r="F685" s="490" t="s">
        <v>1001</v>
      </c>
      <c r="G685" s="581" t="s">
        <v>19</v>
      </c>
      <c r="H685" s="527">
        <v>14.3</v>
      </c>
      <c r="I685" s="235" t="s">
        <v>58</v>
      </c>
      <c r="J685" s="79" t="s">
        <v>641</v>
      </c>
      <c r="K685" s="166" t="s">
        <v>1002</v>
      </c>
      <c r="L685" s="82" t="s">
        <v>641</v>
      </c>
      <c r="M685" s="106" t="s">
        <v>67</v>
      </c>
    </row>
    <row r="686" spans="1:13" ht="22.5" x14ac:dyDescent="0.2">
      <c r="A686" s="496">
        <v>6</v>
      </c>
      <c r="B686" s="506"/>
      <c r="C686" s="558" t="s">
        <v>1003</v>
      </c>
      <c r="D686" s="583" t="s">
        <v>1004</v>
      </c>
      <c r="E686" s="496">
        <v>9</v>
      </c>
      <c r="F686" s="490" t="s">
        <v>1005</v>
      </c>
      <c r="G686" s="581" t="s">
        <v>19</v>
      </c>
      <c r="H686" s="527">
        <v>2.2999999999999998</v>
      </c>
      <c r="I686" s="235" t="s">
        <v>58</v>
      </c>
      <c r="J686" s="79" t="s">
        <v>641</v>
      </c>
      <c r="K686" s="166" t="s">
        <v>1002</v>
      </c>
      <c r="L686" s="82" t="s">
        <v>641</v>
      </c>
      <c r="M686" s="106" t="s">
        <v>183</v>
      </c>
    </row>
    <row r="687" spans="1:13" ht="33.75" x14ac:dyDescent="0.2">
      <c r="A687" s="496">
        <v>6</v>
      </c>
      <c r="B687" s="506"/>
      <c r="C687" s="558" t="s">
        <v>1006</v>
      </c>
      <c r="D687" s="584" t="s">
        <v>1007</v>
      </c>
      <c r="E687" s="560">
        <v>9</v>
      </c>
      <c r="F687" s="585" t="s">
        <v>1008</v>
      </c>
      <c r="G687" s="582" t="s">
        <v>22</v>
      </c>
      <c r="H687" s="527">
        <v>31.2</v>
      </c>
      <c r="I687" s="235" t="s">
        <v>641</v>
      </c>
      <c r="J687" s="79" t="s">
        <v>641</v>
      </c>
      <c r="K687" s="166" t="s">
        <v>1009</v>
      </c>
      <c r="L687" s="82" t="s">
        <v>641</v>
      </c>
      <c r="M687" s="107" t="s">
        <v>641</v>
      </c>
    </row>
    <row r="688" spans="1:13" ht="22.5" x14ac:dyDescent="0.2">
      <c r="A688" s="496">
        <v>6</v>
      </c>
      <c r="B688" s="506"/>
      <c r="C688" s="558" t="s">
        <v>2146</v>
      </c>
      <c r="D688" s="1036" t="s">
        <v>2147</v>
      </c>
      <c r="E688" s="496">
        <v>9</v>
      </c>
      <c r="F688" s="490" t="s">
        <v>2148</v>
      </c>
      <c r="G688" s="281" t="s">
        <v>2149</v>
      </c>
      <c r="H688" s="527"/>
      <c r="I688" s="235"/>
      <c r="J688" s="965" t="s">
        <v>2150</v>
      </c>
      <c r="K688" s="975" t="s">
        <v>2151</v>
      </c>
      <c r="L688" s="976">
        <v>1</v>
      </c>
      <c r="M688" s="977" t="s">
        <v>183</v>
      </c>
    </row>
    <row r="689" spans="1:13" x14ac:dyDescent="0.2">
      <c r="A689" s="496">
        <v>6</v>
      </c>
      <c r="B689" s="506"/>
      <c r="C689" s="558" t="s">
        <v>2146</v>
      </c>
      <c r="D689" s="1037"/>
      <c r="E689" s="496">
        <v>9</v>
      </c>
      <c r="F689" s="490" t="s">
        <v>2148</v>
      </c>
      <c r="G689" s="581" t="s">
        <v>19</v>
      </c>
      <c r="H689" s="527"/>
      <c r="I689" s="235"/>
      <c r="J689" s="965" t="s">
        <v>2150</v>
      </c>
      <c r="K689" s="975"/>
      <c r="L689" s="976"/>
      <c r="M689" s="977"/>
    </row>
    <row r="690" spans="1:13" ht="45" x14ac:dyDescent="0.2">
      <c r="A690" s="496">
        <v>6</v>
      </c>
      <c r="B690" s="231" t="s">
        <v>1010</v>
      </c>
      <c r="C690" s="231" t="s">
        <v>1010</v>
      </c>
      <c r="D690" s="504" t="s">
        <v>1011</v>
      </c>
      <c r="E690" s="505"/>
      <c r="F690" s="505"/>
      <c r="G690" s="521"/>
      <c r="H690" s="521"/>
      <c r="I690" s="235" t="s">
        <v>641</v>
      </c>
      <c r="J690" s="79" t="s">
        <v>641</v>
      </c>
      <c r="K690" s="165" t="s">
        <v>641</v>
      </c>
      <c r="L690" s="108" t="s">
        <v>641</v>
      </c>
      <c r="M690" s="109" t="s">
        <v>641</v>
      </c>
    </row>
    <row r="691" spans="1:13" x14ac:dyDescent="0.2">
      <c r="A691" s="496">
        <v>6</v>
      </c>
      <c r="B691" s="586"/>
      <c r="C691" s="586"/>
      <c r="D691" s="587"/>
      <c r="E691" s="588"/>
      <c r="F691" s="589"/>
      <c r="G691" s="590" t="s">
        <v>1012</v>
      </c>
      <c r="H691" s="591">
        <f>H703+H711+H713+H715+H717+H719+H721+H723+H725+H728+H730+H733+H736+H738+H742+H744+H751+H746+H707+H754+H756</f>
        <v>4203.5</v>
      </c>
      <c r="I691" s="235" t="s">
        <v>641</v>
      </c>
      <c r="J691" s="79" t="s">
        <v>641</v>
      </c>
      <c r="K691" s="165" t="s">
        <v>641</v>
      </c>
      <c r="L691" s="110" t="s">
        <v>641</v>
      </c>
      <c r="M691" s="111" t="s">
        <v>641</v>
      </c>
    </row>
    <row r="692" spans="1:13" x14ac:dyDescent="0.2">
      <c r="A692" s="496">
        <v>6</v>
      </c>
      <c r="B692" s="528"/>
      <c r="C692" s="528"/>
      <c r="D692" s="592"/>
      <c r="E692" s="593"/>
      <c r="F692" s="489"/>
      <c r="G692" s="594" t="s">
        <v>248</v>
      </c>
      <c r="H692" s="595">
        <f>H739+H749</f>
        <v>0</v>
      </c>
      <c r="I692" s="531" t="s">
        <v>641</v>
      </c>
      <c r="J692" s="79" t="s">
        <v>641</v>
      </c>
      <c r="K692" s="165" t="s">
        <v>641</v>
      </c>
      <c r="L692" s="110" t="s">
        <v>641</v>
      </c>
      <c r="M692" s="111" t="s">
        <v>641</v>
      </c>
    </row>
    <row r="693" spans="1:13" x14ac:dyDescent="0.2">
      <c r="A693" s="496">
        <v>6</v>
      </c>
      <c r="B693" s="528"/>
      <c r="C693" s="528"/>
      <c r="D693" s="592"/>
      <c r="E693" s="593"/>
      <c r="F693" s="489"/>
      <c r="G693" s="594" t="s">
        <v>22</v>
      </c>
      <c r="H693" s="595">
        <f>H740+H747</f>
        <v>395</v>
      </c>
      <c r="I693" s="531" t="s">
        <v>641</v>
      </c>
      <c r="J693" s="79" t="s">
        <v>641</v>
      </c>
      <c r="K693" s="165" t="s">
        <v>641</v>
      </c>
      <c r="L693" s="110" t="s">
        <v>641</v>
      </c>
      <c r="M693" s="111" t="s">
        <v>641</v>
      </c>
    </row>
    <row r="694" spans="1:13" x14ac:dyDescent="0.2">
      <c r="A694" s="496">
        <v>6</v>
      </c>
      <c r="B694" s="528"/>
      <c r="C694" s="528"/>
      <c r="D694" s="592"/>
      <c r="E694" s="593"/>
      <c r="F694" s="489"/>
      <c r="G694" s="594" t="s">
        <v>56</v>
      </c>
      <c r="H694" s="595">
        <f>SUM(H704,H708)</f>
        <v>751.4</v>
      </c>
      <c r="I694" s="531" t="s">
        <v>641</v>
      </c>
      <c r="J694" s="79" t="s">
        <v>641</v>
      </c>
      <c r="K694" s="165" t="s">
        <v>641</v>
      </c>
      <c r="L694" s="110" t="s">
        <v>641</v>
      </c>
      <c r="M694" s="111" t="s">
        <v>641</v>
      </c>
    </row>
    <row r="695" spans="1:13" x14ac:dyDescent="0.2">
      <c r="A695" s="496">
        <v>6</v>
      </c>
      <c r="B695" s="528"/>
      <c r="C695" s="528"/>
      <c r="D695" s="592"/>
      <c r="E695" s="593"/>
      <c r="F695" s="489"/>
      <c r="G695" s="594" t="s">
        <v>176</v>
      </c>
      <c r="H695" s="595">
        <f>H705</f>
        <v>100</v>
      </c>
      <c r="I695" s="531" t="s">
        <v>641</v>
      </c>
      <c r="J695" s="79" t="s">
        <v>641</v>
      </c>
      <c r="K695" s="165" t="s">
        <v>641</v>
      </c>
      <c r="L695" s="110" t="s">
        <v>641</v>
      </c>
      <c r="M695" s="111" t="s">
        <v>641</v>
      </c>
    </row>
    <row r="696" spans="1:13" x14ac:dyDescent="0.2">
      <c r="A696" s="496">
        <v>6</v>
      </c>
      <c r="B696" s="528"/>
      <c r="C696" s="528"/>
      <c r="D696" s="592"/>
      <c r="E696" s="593"/>
      <c r="F696" s="489"/>
      <c r="G696" s="594" t="s">
        <v>589</v>
      </c>
      <c r="H696" s="595">
        <f>SUM(H732,H748)</f>
        <v>104.8</v>
      </c>
      <c r="I696" s="531" t="s">
        <v>641</v>
      </c>
      <c r="J696" s="79" t="s">
        <v>641</v>
      </c>
      <c r="K696" s="165" t="s">
        <v>641</v>
      </c>
      <c r="L696" s="112" t="s">
        <v>641</v>
      </c>
      <c r="M696" s="113" t="s">
        <v>641</v>
      </c>
    </row>
    <row r="697" spans="1:13" x14ac:dyDescent="0.2">
      <c r="A697" s="496">
        <v>6</v>
      </c>
      <c r="B697" s="528"/>
      <c r="C697" s="528"/>
      <c r="D697" s="592"/>
      <c r="E697" s="593"/>
      <c r="F697" s="489"/>
      <c r="G697" s="594" t="s">
        <v>21</v>
      </c>
      <c r="H697" s="595">
        <f>H734</f>
        <v>0</v>
      </c>
      <c r="I697" s="531" t="s">
        <v>641</v>
      </c>
      <c r="J697" s="79" t="s">
        <v>641</v>
      </c>
      <c r="K697" s="165" t="s">
        <v>641</v>
      </c>
      <c r="L697" s="112" t="s">
        <v>641</v>
      </c>
      <c r="M697" s="113" t="s">
        <v>641</v>
      </c>
    </row>
    <row r="698" spans="1:13" x14ac:dyDescent="0.2">
      <c r="A698" s="496">
        <v>6</v>
      </c>
      <c r="B698" s="528"/>
      <c r="C698" s="528"/>
      <c r="D698" s="592"/>
      <c r="E698" s="593"/>
      <c r="F698" s="489"/>
      <c r="G698" s="594" t="s">
        <v>19</v>
      </c>
      <c r="H698" s="509">
        <f>H700+H701+H702+H706+H710+H712+H714+H716+H718+H720+H722+H724+H726+H727+H729+H731+H735+H737+H741+H743+H745+H750+H752+H758+H753+H755+H757</f>
        <v>904.3</v>
      </c>
      <c r="I698" s="531" t="s">
        <v>641</v>
      </c>
      <c r="J698" s="79" t="s">
        <v>641</v>
      </c>
      <c r="K698" s="166" t="s">
        <v>641</v>
      </c>
      <c r="L698" s="80" t="s">
        <v>641</v>
      </c>
      <c r="M698" s="81" t="s">
        <v>641</v>
      </c>
    </row>
    <row r="699" spans="1:13" x14ac:dyDescent="0.2">
      <c r="A699" s="496">
        <v>6</v>
      </c>
      <c r="B699" s="528"/>
      <c r="C699" s="528"/>
      <c r="D699" s="592"/>
      <c r="E699" s="593"/>
      <c r="F699" s="489"/>
      <c r="G699" s="513" t="s">
        <v>247</v>
      </c>
      <c r="H699" s="220">
        <f>SUM(H690:H698)</f>
        <v>6459</v>
      </c>
      <c r="I699" s="235" t="s">
        <v>641</v>
      </c>
      <c r="J699" s="79" t="s">
        <v>641</v>
      </c>
      <c r="K699" s="166" t="s">
        <v>641</v>
      </c>
      <c r="L699" s="82" t="s">
        <v>641</v>
      </c>
      <c r="M699" s="83" t="s">
        <v>641</v>
      </c>
    </row>
    <row r="700" spans="1:13" ht="22.5" x14ac:dyDescent="0.2">
      <c r="A700" s="496">
        <v>6</v>
      </c>
      <c r="B700" s="528"/>
      <c r="C700" s="596" t="s">
        <v>1013</v>
      </c>
      <c r="D700" s="287" t="s">
        <v>1014</v>
      </c>
      <c r="E700" s="496">
        <v>9</v>
      </c>
      <c r="F700" s="257" t="s">
        <v>1015</v>
      </c>
      <c r="G700" s="524" t="s">
        <v>19</v>
      </c>
      <c r="H700" s="563"/>
      <c r="I700" s="235" t="s">
        <v>196</v>
      </c>
      <c r="J700" s="79"/>
      <c r="K700" s="166"/>
      <c r="L700" s="82"/>
      <c r="M700" s="83" t="s">
        <v>183</v>
      </c>
    </row>
    <row r="701" spans="1:13" ht="33.75" x14ac:dyDescent="0.2">
      <c r="A701" s="496">
        <v>6</v>
      </c>
      <c r="B701" s="597"/>
      <c r="C701" s="596" t="s">
        <v>1016</v>
      </c>
      <c r="D701" s="598" t="s">
        <v>1017</v>
      </c>
      <c r="E701" s="496">
        <v>9</v>
      </c>
      <c r="F701" s="530" t="s">
        <v>1018</v>
      </c>
      <c r="G701" s="524" t="s">
        <v>19</v>
      </c>
      <c r="H701" s="563"/>
      <c r="I701" s="235" t="s">
        <v>58</v>
      </c>
      <c r="J701" s="79"/>
      <c r="K701" s="166"/>
      <c r="L701" s="82"/>
      <c r="M701" s="83" t="s">
        <v>183</v>
      </c>
    </row>
    <row r="702" spans="1:13" ht="17.25" customHeight="1" x14ac:dyDescent="0.2">
      <c r="A702" s="496">
        <v>6</v>
      </c>
      <c r="B702" s="597"/>
      <c r="C702" s="599" t="s">
        <v>1019</v>
      </c>
      <c r="D702" s="1036" t="s">
        <v>1020</v>
      </c>
      <c r="E702" s="496">
        <v>9</v>
      </c>
      <c r="F702" s="530" t="s">
        <v>1021</v>
      </c>
      <c r="G702" s="524" t="s">
        <v>19</v>
      </c>
      <c r="H702" s="527">
        <v>110</v>
      </c>
      <c r="I702" s="235" t="s">
        <v>181</v>
      </c>
      <c r="J702" s="79" t="s">
        <v>2131</v>
      </c>
      <c r="K702" s="166" t="s">
        <v>1022</v>
      </c>
      <c r="L702" s="82">
        <v>80</v>
      </c>
      <c r="M702" s="83" t="s">
        <v>183</v>
      </c>
    </row>
    <row r="703" spans="1:13" x14ac:dyDescent="0.2">
      <c r="A703" s="496">
        <v>6</v>
      </c>
      <c r="B703" s="597"/>
      <c r="C703" s="600"/>
      <c r="D703" s="1027"/>
      <c r="E703" s="496">
        <v>9</v>
      </c>
      <c r="F703" s="530" t="s">
        <v>1021</v>
      </c>
      <c r="G703" s="524" t="s">
        <v>1012</v>
      </c>
      <c r="H703" s="527">
        <f>989.7+264.1</f>
        <v>1253.8000000000002</v>
      </c>
      <c r="I703" s="235" t="s">
        <v>181</v>
      </c>
      <c r="J703" s="79" t="s">
        <v>2131</v>
      </c>
      <c r="K703" s="166"/>
      <c r="L703" s="82"/>
      <c r="M703" s="83" t="s">
        <v>183</v>
      </c>
    </row>
    <row r="704" spans="1:13" ht="27.75" customHeight="1" x14ac:dyDescent="0.2">
      <c r="A704" s="496">
        <v>6</v>
      </c>
      <c r="B704" s="597"/>
      <c r="C704" s="600"/>
      <c r="D704" s="1027"/>
      <c r="E704" s="496">
        <v>9</v>
      </c>
      <c r="F704" s="530" t="s">
        <v>1021</v>
      </c>
      <c r="G704" s="281" t="s">
        <v>56</v>
      </c>
      <c r="H704" s="563">
        <v>751.4</v>
      </c>
      <c r="I704" s="235" t="s">
        <v>181</v>
      </c>
      <c r="J704" s="79" t="s">
        <v>2131</v>
      </c>
      <c r="K704" s="166" t="s">
        <v>641</v>
      </c>
      <c r="L704" s="82" t="s">
        <v>641</v>
      </c>
      <c r="M704" s="83" t="s">
        <v>183</v>
      </c>
    </row>
    <row r="705" spans="1:13" ht="27.75" customHeight="1" x14ac:dyDescent="0.2">
      <c r="A705" s="496">
        <v>6</v>
      </c>
      <c r="B705" s="597"/>
      <c r="C705" s="600"/>
      <c r="D705" s="1037"/>
      <c r="E705" s="496">
        <v>9</v>
      </c>
      <c r="F705" s="530" t="s">
        <v>1021</v>
      </c>
      <c r="G705" s="281" t="s">
        <v>176</v>
      </c>
      <c r="H705" s="563">
        <v>100</v>
      </c>
      <c r="I705" s="235"/>
      <c r="J705" s="79" t="s">
        <v>2131</v>
      </c>
      <c r="K705" s="166"/>
      <c r="L705" s="82"/>
      <c r="M705" s="83" t="s">
        <v>183</v>
      </c>
    </row>
    <row r="706" spans="1:13" ht="22.5" x14ac:dyDescent="0.2">
      <c r="A706" s="496">
        <v>6</v>
      </c>
      <c r="B706" s="597"/>
      <c r="C706" s="599" t="s">
        <v>1023</v>
      </c>
      <c r="D706" s="1036" t="s">
        <v>1024</v>
      </c>
      <c r="E706" s="496">
        <v>9</v>
      </c>
      <c r="F706" s="530" t="s">
        <v>1025</v>
      </c>
      <c r="G706" s="281" t="s">
        <v>19</v>
      </c>
      <c r="H706" s="563">
        <f>ROUND((2800-(2800/3))/2-900, 1)</f>
        <v>33.299999999999997</v>
      </c>
      <c r="I706" s="235" t="s">
        <v>181</v>
      </c>
      <c r="J706" s="79" t="s">
        <v>2131</v>
      </c>
      <c r="K706" s="166" t="s">
        <v>1026</v>
      </c>
      <c r="L706" s="82">
        <v>1</v>
      </c>
      <c r="M706" s="83" t="s">
        <v>183</v>
      </c>
    </row>
    <row r="707" spans="1:13" x14ac:dyDescent="0.2">
      <c r="A707" s="496">
        <v>6</v>
      </c>
      <c r="B707" s="597"/>
      <c r="C707" s="599"/>
      <c r="D707" s="1027"/>
      <c r="E707" s="496">
        <v>9</v>
      </c>
      <c r="F707" s="530" t="s">
        <v>1025</v>
      </c>
      <c r="G707" s="281" t="s">
        <v>1012</v>
      </c>
      <c r="H707" s="527">
        <f>113+87</f>
        <v>200</v>
      </c>
      <c r="I707" s="235" t="s">
        <v>181</v>
      </c>
      <c r="J707" s="79" t="s">
        <v>2131</v>
      </c>
      <c r="K707" s="166" t="s">
        <v>1027</v>
      </c>
      <c r="L707" s="82">
        <v>1</v>
      </c>
      <c r="M707" s="83" t="s">
        <v>183</v>
      </c>
    </row>
    <row r="708" spans="1:13" x14ac:dyDescent="0.2">
      <c r="A708" s="496">
        <v>6</v>
      </c>
      <c r="B708" s="597"/>
      <c r="C708" s="600"/>
      <c r="D708" s="1027"/>
      <c r="E708" s="496">
        <v>9</v>
      </c>
      <c r="F708" s="530" t="s">
        <v>1025</v>
      </c>
      <c r="G708" s="281" t="s">
        <v>56</v>
      </c>
      <c r="H708" s="527"/>
      <c r="I708" s="235" t="s">
        <v>181</v>
      </c>
      <c r="J708" s="79" t="s">
        <v>2131</v>
      </c>
      <c r="K708" s="166" t="s">
        <v>360</v>
      </c>
      <c r="L708" s="82">
        <v>50</v>
      </c>
      <c r="M708" s="83" t="s">
        <v>183</v>
      </c>
    </row>
    <row r="709" spans="1:13" x14ac:dyDescent="0.2">
      <c r="A709" s="496">
        <v>6</v>
      </c>
      <c r="B709" s="597"/>
      <c r="C709" s="600"/>
      <c r="D709" s="1037"/>
      <c r="E709" s="496">
        <v>9</v>
      </c>
      <c r="F709" s="530" t="s">
        <v>1025</v>
      </c>
      <c r="G709" s="281" t="s">
        <v>176</v>
      </c>
      <c r="H709" s="527"/>
      <c r="I709" s="235" t="s">
        <v>181</v>
      </c>
      <c r="J709" s="79" t="s">
        <v>2131</v>
      </c>
      <c r="K709" s="166" t="s">
        <v>641</v>
      </c>
      <c r="L709" s="82" t="s">
        <v>641</v>
      </c>
      <c r="M709" s="83" t="s">
        <v>183</v>
      </c>
    </row>
    <row r="710" spans="1:13" ht="22.5" x14ac:dyDescent="0.2">
      <c r="A710" s="496">
        <v>6</v>
      </c>
      <c r="B710" s="597"/>
      <c r="C710" s="599" t="s">
        <v>1028</v>
      </c>
      <c r="D710" s="1036" t="s">
        <v>1029</v>
      </c>
      <c r="E710" s="496">
        <v>9</v>
      </c>
      <c r="F710" s="530" t="s">
        <v>1030</v>
      </c>
      <c r="G710" s="524" t="s">
        <v>19</v>
      </c>
      <c r="H710" s="527">
        <v>30</v>
      </c>
      <c r="I710" s="235" t="s">
        <v>196</v>
      </c>
      <c r="J710" s="79" t="s">
        <v>2133</v>
      </c>
      <c r="K710" s="166" t="s">
        <v>1031</v>
      </c>
      <c r="L710" s="82">
        <v>50</v>
      </c>
      <c r="M710" s="83" t="s">
        <v>183</v>
      </c>
    </row>
    <row r="711" spans="1:13" x14ac:dyDescent="0.2">
      <c r="A711" s="496">
        <v>6</v>
      </c>
      <c r="B711" s="597"/>
      <c r="C711" s="600"/>
      <c r="D711" s="1037"/>
      <c r="E711" s="496">
        <v>9</v>
      </c>
      <c r="F711" s="530" t="s">
        <v>1030</v>
      </c>
      <c r="G711" s="524" t="s">
        <v>1012</v>
      </c>
      <c r="H711" s="563"/>
      <c r="I711" s="235" t="s">
        <v>196</v>
      </c>
      <c r="J711" s="79" t="s">
        <v>2133</v>
      </c>
      <c r="K711" s="166" t="s">
        <v>641</v>
      </c>
      <c r="L711" s="82" t="s">
        <v>641</v>
      </c>
      <c r="M711" s="83" t="s">
        <v>183</v>
      </c>
    </row>
    <row r="712" spans="1:13" ht="21.75" customHeight="1" x14ac:dyDescent="0.2">
      <c r="A712" s="496">
        <v>6</v>
      </c>
      <c r="B712" s="597"/>
      <c r="C712" s="599" t="s">
        <v>1032</v>
      </c>
      <c r="D712" s="1036" t="s">
        <v>1033</v>
      </c>
      <c r="E712" s="496">
        <v>9</v>
      </c>
      <c r="F712" s="530" t="s">
        <v>1034</v>
      </c>
      <c r="G712" s="524" t="s">
        <v>19</v>
      </c>
      <c r="H712" s="527">
        <v>30</v>
      </c>
      <c r="I712" s="235" t="s">
        <v>196</v>
      </c>
      <c r="J712" s="79" t="s">
        <v>2131</v>
      </c>
      <c r="K712" s="166" t="s">
        <v>1031</v>
      </c>
      <c r="L712" s="82">
        <v>50</v>
      </c>
      <c r="M712" s="83" t="s">
        <v>190</v>
      </c>
    </row>
    <row r="713" spans="1:13" ht="23.25" customHeight="1" x14ac:dyDescent="0.2">
      <c r="A713" s="496">
        <v>6</v>
      </c>
      <c r="B713" s="597"/>
      <c r="C713" s="600"/>
      <c r="D713" s="1037"/>
      <c r="E713" s="496">
        <v>9</v>
      </c>
      <c r="F713" s="530" t="s">
        <v>1034</v>
      </c>
      <c r="G713" s="524" t="s">
        <v>1012</v>
      </c>
      <c r="H713" s="563"/>
      <c r="I713" s="235" t="s">
        <v>196</v>
      </c>
      <c r="J713" s="79" t="s">
        <v>2131</v>
      </c>
      <c r="K713" s="166" t="s">
        <v>641</v>
      </c>
      <c r="L713" s="82" t="s">
        <v>641</v>
      </c>
      <c r="M713" s="83" t="s">
        <v>190</v>
      </c>
    </row>
    <row r="714" spans="1:13" ht="21.75" customHeight="1" x14ac:dyDescent="0.2">
      <c r="A714" s="496">
        <v>6</v>
      </c>
      <c r="B714" s="597"/>
      <c r="C714" s="599" t="s">
        <v>1035</v>
      </c>
      <c r="D714" s="1036" t="s">
        <v>1036</v>
      </c>
      <c r="E714" s="496">
        <v>9</v>
      </c>
      <c r="F714" s="530" t="s">
        <v>1037</v>
      </c>
      <c r="G714" s="524" t="s">
        <v>19</v>
      </c>
      <c r="H714" s="527">
        <v>30</v>
      </c>
      <c r="I714" s="235" t="s">
        <v>196</v>
      </c>
      <c r="J714" s="79" t="s">
        <v>2133</v>
      </c>
      <c r="K714" s="166" t="s">
        <v>1031</v>
      </c>
      <c r="L714" s="82">
        <v>50</v>
      </c>
      <c r="M714" s="83" t="s">
        <v>222</v>
      </c>
    </row>
    <row r="715" spans="1:13" x14ac:dyDescent="0.2">
      <c r="A715" s="496">
        <v>6</v>
      </c>
      <c r="B715" s="597"/>
      <c r="C715" s="600"/>
      <c r="D715" s="1037"/>
      <c r="E715" s="496">
        <v>9</v>
      </c>
      <c r="F715" s="530" t="s">
        <v>1037</v>
      </c>
      <c r="G715" s="524" t="s">
        <v>1012</v>
      </c>
      <c r="H715" s="563"/>
      <c r="I715" s="235" t="s">
        <v>196</v>
      </c>
      <c r="J715" s="79" t="s">
        <v>2133</v>
      </c>
      <c r="K715" s="166" t="s">
        <v>641</v>
      </c>
      <c r="L715" s="82" t="s">
        <v>641</v>
      </c>
      <c r="M715" s="83" t="s">
        <v>222</v>
      </c>
    </row>
    <row r="716" spans="1:13" ht="22.5" x14ac:dyDescent="0.2">
      <c r="A716" s="496">
        <v>6</v>
      </c>
      <c r="B716" s="597"/>
      <c r="C716" s="599" t="s">
        <v>1038</v>
      </c>
      <c r="D716" s="1036" t="s">
        <v>1039</v>
      </c>
      <c r="E716" s="496">
        <v>9</v>
      </c>
      <c r="F716" s="530" t="s">
        <v>1040</v>
      </c>
      <c r="G716" s="524" t="s">
        <v>19</v>
      </c>
      <c r="H716" s="527">
        <v>30</v>
      </c>
      <c r="I716" s="235" t="s">
        <v>196</v>
      </c>
      <c r="J716" s="79" t="s">
        <v>2133</v>
      </c>
      <c r="K716" s="166" t="s">
        <v>1031</v>
      </c>
      <c r="L716" s="82">
        <v>50</v>
      </c>
      <c r="M716" s="83" t="s">
        <v>222</v>
      </c>
    </row>
    <row r="717" spans="1:13" x14ac:dyDescent="0.2">
      <c r="A717" s="496">
        <v>6</v>
      </c>
      <c r="B717" s="597"/>
      <c r="C717" s="600"/>
      <c r="D717" s="1037"/>
      <c r="E717" s="496">
        <v>9</v>
      </c>
      <c r="F717" s="530" t="s">
        <v>1040</v>
      </c>
      <c r="G717" s="524" t="s">
        <v>1012</v>
      </c>
      <c r="H717" s="563"/>
      <c r="I717" s="235" t="s">
        <v>196</v>
      </c>
      <c r="J717" s="79" t="s">
        <v>2133</v>
      </c>
      <c r="K717" s="166" t="s">
        <v>641</v>
      </c>
      <c r="L717" s="82" t="s">
        <v>641</v>
      </c>
      <c r="M717" s="83" t="s">
        <v>222</v>
      </c>
    </row>
    <row r="718" spans="1:13" ht="22.5" x14ac:dyDescent="0.2">
      <c r="A718" s="496">
        <v>6</v>
      </c>
      <c r="B718" s="597"/>
      <c r="C718" s="599" t="s">
        <v>1041</v>
      </c>
      <c r="D718" s="1036" t="s">
        <v>1042</v>
      </c>
      <c r="E718" s="496">
        <v>9</v>
      </c>
      <c r="F718" s="530" t="s">
        <v>1043</v>
      </c>
      <c r="G718" s="524" t="s">
        <v>19</v>
      </c>
      <c r="H718" s="527">
        <v>15</v>
      </c>
      <c r="I718" s="235" t="s">
        <v>196</v>
      </c>
      <c r="J718" s="79" t="s">
        <v>2133</v>
      </c>
      <c r="K718" s="166" t="s">
        <v>1031</v>
      </c>
      <c r="L718" s="82">
        <v>50</v>
      </c>
      <c r="M718" s="83" t="s">
        <v>183</v>
      </c>
    </row>
    <row r="719" spans="1:13" x14ac:dyDescent="0.2">
      <c r="A719" s="496">
        <v>6</v>
      </c>
      <c r="B719" s="597"/>
      <c r="C719" s="600"/>
      <c r="D719" s="1037"/>
      <c r="E719" s="496">
        <v>9</v>
      </c>
      <c r="F719" s="530" t="s">
        <v>1043</v>
      </c>
      <c r="G719" s="524" t="s">
        <v>1012</v>
      </c>
      <c r="H719" s="563"/>
      <c r="I719" s="235" t="s">
        <v>196</v>
      </c>
      <c r="J719" s="79" t="s">
        <v>2133</v>
      </c>
      <c r="K719" s="166" t="s">
        <v>641</v>
      </c>
      <c r="L719" s="82" t="s">
        <v>641</v>
      </c>
      <c r="M719" s="83" t="s">
        <v>183</v>
      </c>
    </row>
    <row r="720" spans="1:13" ht="21.75" customHeight="1" x14ac:dyDescent="0.2">
      <c r="A720" s="496">
        <v>6</v>
      </c>
      <c r="B720" s="597"/>
      <c r="C720" s="599" t="s">
        <v>1044</v>
      </c>
      <c r="D720" s="1036" t="s">
        <v>1045</v>
      </c>
      <c r="E720" s="496">
        <v>9</v>
      </c>
      <c r="F720" s="530" t="s">
        <v>1046</v>
      </c>
      <c r="G720" s="524" t="s">
        <v>19</v>
      </c>
      <c r="H720" s="563">
        <v>80</v>
      </c>
      <c r="I720" s="235" t="s">
        <v>196</v>
      </c>
      <c r="J720" s="965" t="s">
        <v>2086</v>
      </c>
      <c r="K720" s="166" t="s">
        <v>1031</v>
      </c>
      <c r="L720" s="82">
        <v>30</v>
      </c>
      <c r="M720" s="83" t="s">
        <v>187</v>
      </c>
    </row>
    <row r="721" spans="1:13" ht="17.25" customHeight="1" x14ac:dyDescent="0.2">
      <c r="A721" s="496">
        <v>6</v>
      </c>
      <c r="B721" s="597"/>
      <c r="C721" s="600"/>
      <c r="D721" s="1037"/>
      <c r="E721" s="496">
        <v>9</v>
      </c>
      <c r="F721" s="530" t="s">
        <v>1046</v>
      </c>
      <c r="G721" s="524" t="s">
        <v>1012</v>
      </c>
      <c r="H721" s="563"/>
      <c r="I721" s="235" t="s">
        <v>196</v>
      </c>
      <c r="J721" s="79" t="s">
        <v>641</v>
      </c>
      <c r="K721" s="166" t="s">
        <v>641</v>
      </c>
      <c r="L721" s="82" t="s">
        <v>641</v>
      </c>
      <c r="M721" s="83" t="s">
        <v>187</v>
      </c>
    </row>
    <row r="722" spans="1:13" ht="16.5" customHeight="1" x14ac:dyDescent="0.2">
      <c r="A722" s="496">
        <v>6</v>
      </c>
      <c r="B722" s="597"/>
      <c r="C722" s="599" t="s">
        <v>1047</v>
      </c>
      <c r="D722" s="1036" t="s">
        <v>1048</v>
      </c>
      <c r="E722" s="496">
        <v>9</v>
      </c>
      <c r="F722" s="530" t="s">
        <v>1049</v>
      </c>
      <c r="G722" s="524" t="s">
        <v>19</v>
      </c>
      <c r="H722" s="563">
        <v>20</v>
      </c>
      <c r="I722" s="235" t="s">
        <v>196</v>
      </c>
      <c r="J722" s="965" t="s">
        <v>2086</v>
      </c>
      <c r="K722" s="166" t="s">
        <v>1031</v>
      </c>
      <c r="L722" s="82">
        <v>20</v>
      </c>
      <c r="M722" s="83" t="s">
        <v>223</v>
      </c>
    </row>
    <row r="723" spans="1:13" x14ac:dyDescent="0.2">
      <c r="A723" s="496">
        <v>6</v>
      </c>
      <c r="B723" s="597"/>
      <c r="C723" s="600"/>
      <c r="D723" s="1037"/>
      <c r="E723" s="496">
        <v>9</v>
      </c>
      <c r="F723" s="530" t="s">
        <v>1049</v>
      </c>
      <c r="G723" s="524" t="s">
        <v>1012</v>
      </c>
      <c r="H723" s="563"/>
      <c r="I723" s="235" t="s">
        <v>196</v>
      </c>
      <c r="J723" s="79" t="s">
        <v>641</v>
      </c>
      <c r="K723" s="166" t="s">
        <v>641</v>
      </c>
      <c r="L723" s="82" t="s">
        <v>641</v>
      </c>
      <c r="M723" s="83" t="s">
        <v>223</v>
      </c>
    </row>
    <row r="724" spans="1:13" ht="18.75" customHeight="1" x14ac:dyDescent="0.2">
      <c r="A724" s="496">
        <v>6</v>
      </c>
      <c r="B724" s="597"/>
      <c r="C724" s="599" t="s">
        <v>1050</v>
      </c>
      <c r="D724" s="1036" t="s">
        <v>1051</v>
      </c>
      <c r="E724" s="496">
        <v>9</v>
      </c>
      <c r="F724" s="530" t="s">
        <v>1052</v>
      </c>
      <c r="G724" s="524" t="s">
        <v>19</v>
      </c>
      <c r="H724" s="563">
        <v>80</v>
      </c>
      <c r="I724" s="235" t="s">
        <v>196</v>
      </c>
      <c r="J724" s="79" t="s">
        <v>2131</v>
      </c>
      <c r="K724" s="166" t="s">
        <v>1031</v>
      </c>
      <c r="L724" s="82">
        <v>30</v>
      </c>
      <c r="M724" s="83" t="s">
        <v>190</v>
      </c>
    </row>
    <row r="725" spans="1:13" x14ac:dyDescent="0.2">
      <c r="A725" s="496">
        <v>6</v>
      </c>
      <c r="B725" s="597"/>
      <c r="C725" s="600"/>
      <c r="D725" s="1037"/>
      <c r="E725" s="496">
        <v>9</v>
      </c>
      <c r="F725" s="530" t="s">
        <v>1052</v>
      </c>
      <c r="G725" s="524" t="s">
        <v>1012</v>
      </c>
      <c r="H725" s="563"/>
      <c r="I725" s="235" t="s">
        <v>196</v>
      </c>
      <c r="J725" s="79" t="s">
        <v>641</v>
      </c>
      <c r="K725" s="166" t="s">
        <v>641</v>
      </c>
      <c r="L725" s="82" t="s">
        <v>641</v>
      </c>
      <c r="M725" s="83" t="s">
        <v>190</v>
      </c>
    </row>
    <row r="726" spans="1:13" ht="22.5" x14ac:dyDescent="0.2">
      <c r="A726" s="496">
        <v>6</v>
      </c>
      <c r="B726" s="506"/>
      <c r="C726" s="599" t="s">
        <v>1053</v>
      </c>
      <c r="D726" s="601" t="s">
        <v>1054</v>
      </c>
      <c r="E726" s="496">
        <v>9</v>
      </c>
      <c r="F726" s="530" t="s">
        <v>1055</v>
      </c>
      <c r="G726" s="524" t="s">
        <v>19</v>
      </c>
      <c r="H726" s="563">
        <v>50</v>
      </c>
      <c r="I726" s="531" t="s">
        <v>196</v>
      </c>
      <c r="J726" s="76" t="s">
        <v>65</v>
      </c>
      <c r="K726" s="166" t="s">
        <v>1056</v>
      </c>
      <c r="L726" s="82">
        <v>1</v>
      </c>
      <c r="M726" s="83" t="s">
        <v>67</v>
      </c>
    </row>
    <row r="727" spans="1:13" x14ac:dyDescent="0.2">
      <c r="A727" s="496">
        <v>6</v>
      </c>
      <c r="B727" s="506"/>
      <c r="C727" s="599" t="s">
        <v>1057</v>
      </c>
      <c r="D727" s="1026" t="s">
        <v>1058</v>
      </c>
      <c r="E727" s="496">
        <v>9</v>
      </c>
      <c r="F727" s="529" t="s">
        <v>1059</v>
      </c>
      <c r="G727" s="524" t="s">
        <v>19</v>
      </c>
      <c r="H727" s="563">
        <f>6+4</f>
        <v>10</v>
      </c>
      <c r="I727" s="531" t="s">
        <v>58</v>
      </c>
      <c r="J727" s="76" t="s">
        <v>2133</v>
      </c>
      <c r="K727" s="166" t="s">
        <v>360</v>
      </c>
      <c r="L727" s="82">
        <v>100</v>
      </c>
      <c r="M727" s="97" t="s">
        <v>187</v>
      </c>
    </row>
    <row r="728" spans="1:13" x14ac:dyDescent="0.2">
      <c r="A728" s="496">
        <v>6</v>
      </c>
      <c r="B728" s="506"/>
      <c r="C728" s="506"/>
      <c r="D728" s="1037"/>
      <c r="E728" s="496">
        <v>9</v>
      </c>
      <c r="F728" s="529" t="s">
        <v>1059</v>
      </c>
      <c r="G728" s="524" t="s">
        <v>1012</v>
      </c>
      <c r="H728" s="527">
        <f>38.6+16.4</f>
        <v>55</v>
      </c>
      <c r="I728" s="531" t="s">
        <v>58</v>
      </c>
      <c r="J728" s="76" t="s">
        <v>2133</v>
      </c>
      <c r="K728" s="166" t="s">
        <v>641</v>
      </c>
      <c r="L728" s="82" t="s">
        <v>641</v>
      </c>
      <c r="M728" s="97" t="s">
        <v>187</v>
      </c>
    </row>
    <row r="729" spans="1:13" x14ac:dyDescent="0.2">
      <c r="A729" s="496">
        <v>6</v>
      </c>
      <c r="B729" s="602"/>
      <c r="C729" s="599" t="s">
        <v>1060</v>
      </c>
      <c r="D729" s="1026" t="s">
        <v>1061</v>
      </c>
      <c r="E729" s="603">
        <v>9</v>
      </c>
      <c r="F729" s="604" t="s">
        <v>1062</v>
      </c>
      <c r="G729" s="264" t="s">
        <v>19</v>
      </c>
      <c r="H729" s="527"/>
      <c r="I729" s="605" t="s">
        <v>58</v>
      </c>
      <c r="J729" s="79" t="s">
        <v>2131</v>
      </c>
      <c r="K729" s="166"/>
      <c r="L729" s="82"/>
      <c r="M729" s="83" t="s">
        <v>187</v>
      </c>
    </row>
    <row r="730" spans="1:13" ht="18.600000000000001" customHeight="1" x14ac:dyDescent="0.2">
      <c r="A730" s="496">
        <v>6</v>
      </c>
      <c r="B730" s="506"/>
      <c r="C730" s="506"/>
      <c r="D730" s="1042"/>
      <c r="E730" s="496">
        <v>9</v>
      </c>
      <c r="F730" s="529" t="s">
        <v>1062</v>
      </c>
      <c r="G730" s="524" t="s">
        <v>1012</v>
      </c>
      <c r="H730" s="563"/>
      <c r="I730" s="531" t="s">
        <v>58</v>
      </c>
      <c r="J730" s="79" t="s">
        <v>2131</v>
      </c>
      <c r="K730" s="166" t="s">
        <v>641</v>
      </c>
      <c r="L730" s="82" t="s">
        <v>641</v>
      </c>
      <c r="M730" s="97" t="s">
        <v>187</v>
      </c>
    </row>
    <row r="731" spans="1:13" ht="22.5" x14ac:dyDescent="0.2">
      <c r="A731" s="496">
        <v>6</v>
      </c>
      <c r="B731" s="506"/>
      <c r="C731" s="599" t="s">
        <v>1063</v>
      </c>
      <c r="D731" s="1036" t="s">
        <v>1064</v>
      </c>
      <c r="E731" s="496">
        <v>9</v>
      </c>
      <c r="F731" s="529" t="s">
        <v>1065</v>
      </c>
      <c r="G731" s="524" t="s">
        <v>19</v>
      </c>
      <c r="H731" s="527">
        <v>35</v>
      </c>
      <c r="I731" s="235" t="s">
        <v>58</v>
      </c>
      <c r="J731" s="79" t="s">
        <v>65</v>
      </c>
      <c r="K731" s="166" t="s">
        <v>934</v>
      </c>
      <c r="L731" s="82">
        <v>100</v>
      </c>
      <c r="M731" s="97" t="s">
        <v>545</v>
      </c>
    </row>
    <row r="732" spans="1:13" x14ac:dyDescent="0.2">
      <c r="A732" s="496">
        <v>6</v>
      </c>
      <c r="B732" s="506"/>
      <c r="C732" s="506"/>
      <c r="D732" s="1027"/>
      <c r="E732" s="496">
        <v>9</v>
      </c>
      <c r="F732" s="529" t="s">
        <v>1065</v>
      </c>
      <c r="G732" s="524" t="s">
        <v>589</v>
      </c>
      <c r="H732" s="563"/>
      <c r="I732" s="235" t="s">
        <v>58</v>
      </c>
      <c r="J732" s="79" t="s">
        <v>65</v>
      </c>
      <c r="K732" s="166" t="s">
        <v>641</v>
      </c>
      <c r="L732" s="82" t="s">
        <v>641</v>
      </c>
      <c r="M732" s="97" t="s">
        <v>545</v>
      </c>
    </row>
    <row r="733" spans="1:13" x14ac:dyDescent="0.2">
      <c r="A733" s="496">
        <v>6</v>
      </c>
      <c r="B733" s="506"/>
      <c r="C733" s="506"/>
      <c r="D733" s="1027"/>
      <c r="E733" s="496">
        <v>9</v>
      </c>
      <c r="F733" s="529" t="s">
        <v>1065</v>
      </c>
      <c r="G733" s="524" t="s">
        <v>1012</v>
      </c>
      <c r="H733" s="527">
        <v>134.69999999999999</v>
      </c>
      <c r="I733" s="235" t="s">
        <v>58</v>
      </c>
      <c r="J733" s="79" t="s">
        <v>65</v>
      </c>
      <c r="K733" s="166" t="s">
        <v>641</v>
      </c>
      <c r="L733" s="82" t="s">
        <v>641</v>
      </c>
      <c r="M733" s="97" t="s">
        <v>545</v>
      </c>
    </row>
    <row r="734" spans="1:13" ht="22.5" x14ac:dyDescent="0.2">
      <c r="A734" s="496">
        <v>6</v>
      </c>
      <c r="B734" s="506"/>
      <c r="C734" s="606"/>
      <c r="D734" s="1037"/>
      <c r="E734" s="496">
        <v>9</v>
      </c>
      <c r="F734" s="529" t="s">
        <v>1065</v>
      </c>
      <c r="G734" s="524" t="s">
        <v>21</v>
      </c>
      <c r="H734" s="563"/>
      <c r="I734" s="235" t="s">
        <v>196</v>
      </c>
      <c r="J734" s="79" t="s">
        <v>65</v>
      </c>
      <c r="K734" s="166" t="s">
        <v>1066</v>
      </c>
      <c r="L734" s="82" t="s">
        <v>641</v>
      </c>
      <c r="M734" s="97" t="s">
        <v>641</v>
      </c>
    </row>
    <row r="735" spans="1:13" x14ac:dyDescent="0.2">
      <c r="A735" s="496">
        <v>6</v>
      </c>
      <c r="B735" s="506"/>
      <c r="C735" s="599" t="s">
        <v>1067</v>
      </c>
      <c r="D735" s="1036" t="s">
        <v>1068</v>
      </c>
      <c r="E735" s="496">
        <v>9</v>
      </c>
      <c r="F735" s="529" t="s">
        <v>1069</v>
      </c>
      <c r="G735" s="524" t="s">
        <v>19</v>
      </c>
      <c r="H735" s="527">
        <v>30</v>
      </c>
      <c r="I735" s="531" t="s">
        <v>58</v>
      </c>
      <c r="J735" s="79" t="s">
        <v>2133</v>
      </c>
      <c r="K735" s="166" t="s">
        <v>1022</v>
      </c>
      <c r="L735" s="82">
        <v>100</v>
      </c>
      <c r="M735" s="97" t="s">
        <v>67</v>
      </c>
    </row>
    <row r="736" spans="1:13" ht="33.6" customHeight="1" x14ac:dyDescent="0.2">
      <c r="A736" s="496">
        <v>6</v>
      </c>
      <c r="B736" s="506"/>
      <c r="C736" s="506"/>
      <c r="D736" s="1037"/>
      <c r="E736" s="496">
        <v>9</v>
      </c>
      <c r="F736" s="529" t="s">
        <v>1069</v>
      </c>
      <c r="G736" s="524" t="s">
        <v>1012</v>
      </c>
      <c r="H736" s="527">
        <f>802+48</f>
        <v>850</v>
      </c>
      <c r="I736" s="531" t="s">
        <v>58</v>
      </c>
      <c r="J736" s="79" t="s">
        <v>2133</v>
      </c>
      <c r="K736" s="166" t="s">
        <v>641</v>
      </c>
      <c r="L736" s="82" t="s">
        <v>641</v>
      </c>
      <c r="M736" s="97" t="s">
        <v>67</v>
      </c>
    </row>
    <row r="737" spans="1:13" x14ac:dyDescent="0.2">
      <c r="A737" s="496">
        <v>6</v>
      </c>
      <c r="B737" s="506"/>
      <c r="C737" s="599" t="s">
        <v>1070</v>
      </c>
      <c r="D737" s="1036" t="s">
        <v>1071</v>
      </c>
      <c r="E737" s="496">
        <v>9</v>
      </c>
      <c r="F737" s="529" t="s">
        <v>1072</v>
      </c>
      <c r="G737" s="524" t="s">
        <v>19</v>
      </c>
      <c r="H737" s="527">
        <v>120</v>
      </c>
      <c r="I737" s="531" t="s">
        <v>58</v>
      </c>
      <c r="J737" s="79" t="s">
        <v>2133</v>
      </c>
      <c r="K737" s="166" t="s">
        <v>1022</v>
      </c>
      <c r="L737" s="82">
        <v>100</v>
      </c>
      <c r="M737" s="97" t="s">
        <v>183</v>
      </c>
    </row>
    <row r="738" spans="1:13" x14ac:dyDescent="0.2">
      <c r="A738" s="496">
        <v>6</v>
      </c>
      <c r="B738" s="506"/>
      <c r="C738" s="506"/>
      <c r="D738" s="1027"/>
      <c r="E738" s="496">
        <v>9</v>
      </c>
      <c r="F738" s="529" t="s">
        <v>1072</v>
      </c>
      <c r="G738" s="524" t="s">
        <v>1012</v>
      </c>
      <c r="H738" s="527">
        <f>120-10</f>
        <v>110</v>
      </c>
      <c r="I738" s="531" t="s">
        <v>58</v>
      </c>
      <c r="J738" s="79" t="s">
        <v>2133</v>
      </c>
      <c r="K738" s="166" t="s">
        <v>641</v>
      </c>
      <c r="L738" s="82" t="s">
        <v>641</v>
      </c>
      <c r="M738" s="97" t="s">
        <v>183</v>
      </c>
    </row>
    <row r="739" spans="1:13" x14ac:dyDescent="0.2">
      <c r="A739" s="496">
        <v>6</v>
      </c>
      <c r="B739" s="506"/>
      <c r="C739" s="506"/>
      <c r="D739" s="1027"/>
      <c r="E739" s="496">
        <v>9</v>
      </c>
      <c r="F739" s="529" t="s">
        <v>1072</v>
      </c>
      <c r="G739" s="524" t="s">
        <v>248</v>
      </c>
      <c r="H739" s="527"/>
      <c r="I739" s="531" t="s">
        <v>641</v>
      </c>
      <c r="J739" s="79" t="s">
        <v>2133</v>
      </c>
      <c r="K739" s="166" t="s">
        <v>641</v>
      </c>
      <c r="L739" s="82" t="s">
        <v>641</v>
      </c>
      <c r="M739" s="97" t="s">
        <v>183</v>
      </c>
    </row>
    <row r="740" spans="1:13" x14ac:dyDescent="0.2">
      <c r="A740" s="496">
        <v>6</v>
      </c>
      <c r="B740" s="506"/>
      <c r="C740" s="506"/>
      <c r="D740" s="1037"/>
      <c r="E740" s="496">
        <v>9</v>
      </c>
      <c r="F740" s="530" t="s">
        <v>1072</v>
      </c>
      <c r="G740" s="582" t="s">
        <v>22</v>
      </c>
      <c r="H740" s="527">
        <v>285</v>
      </c>
      <c r="I740" s="531" t="s">
        <v>58</v>
      </c>
      <c r="J740" s="79" t="s">
        <v>2133</v>
      </c>
      <c r="K740" s="169" t="s">
        <v>641</v>
      </c>
      <c r="L740" s="102" t="s">
        <v>641</v>
      </c>
      <c r="M740" s="97" t="s">
        <v>183</v>
      </c>
    </row>
    <row r="741" spans="1:13" ht="17.25" customHeight="1" x14ac:dyDescent="0.2">
      <c r="A741" s="496">
        <v>6</v>
      </c>
      <c r="B741" s="506"/>
      <c r="C741" s="599" t="s">
        <v>1073</v>
      </c>
      <c r="D741" s="1036" t="s">
        <v>1074</v>
      </c>
      <c r="E741" s="496">
        <v>9</v>
      </c>
      <c r="F741" s="529" t="s">
        <v>1075</v>
      </c>
      <c r="G741" s="524" t="s">
        <v>19</v>
      </c>
      <c r="H741" s="563"/>
      <c r="I741" s="531" t="s">
        <v>58</v>
      </c>
      <c r="J741" s="79"/>
      <c r="K741" s="169"/>
      <c r="L741" s="82" t="s">
        <v>641</v>
      </c>
      <c r="M741" s="97" t="s">
        <v>187</v>
      </c>
    </row>
    <row r="742" spans="1:13" ht="28.5" customHeight="1" x14ac:dyDescent="0.2">
      <c r="A742" s="496">
        <v>6</v>
      </c>
      <c r="B742" s="506"/>
      <c r="C742" s="506"/>
      <c r="D742" s="1037"/>
      <c r="E742" s="496">
        <v>9</v>
      </c>
      <c r="F742" s="529" t="s">
        <v>1075</v>
      </c>
      <c r="G742" s="524" t="s">
        <v>1012</v>
      </c>
      <c r="H742" s="563"/>
      <c r="I742" s="531" t="s">
        <v>58</v>
      </c>
      <c r="J742" s="79"/>
      <c r="K742" s="166"/>
      <c r="L742" s="82" t="s">
        <v>641</v>
      </c>
      <c r="M742" s="97" t="s">
        <v>187</v>
      </c>
    </row>
    <row r="743" spans="1:13" ht="23.25" customHeight="1" x14ac:dyDescent="0.2">
      <c r="A743" s="496">
        <v>6</v>
      </c>
      <c r="B743" s="506"/>
      <c r="C743" s="599" t="s">
        <v>1076</v>
      </c>
      <c r="D743" s="1036" t="s">
        <v>1077</v>
      </c>
      <c r="E743" s="496">
        <v>9</v>
      </c>
      <c r="F743" s="529" t="s">
        <v>1078</v>
      </c>
      <c r="G743" s="524" t="s">
        <v>19</v>
      </c>
      <c r="H743" s="527">
        <v>12</v>
      </c>
      <c r="I743" s="531" t="s">
        <v>58</v>
      </c>
      <c r="J743" s="79" t="s">
        <v>65</v>
      </c>
      <c r="K743" s="166" t="s">
        <v>641</v>
      </c>
      <c r="L743" s="82" t="s">
        <v>641</v>
      </c>
      <c r="M743" s="97" t="s">
        <v>223</v>
      </c>
    </row>
    <row r="744" spans="1:13" ht="20.25" customHeight="1" x14ac:dyDescent="0.2">
      <c r="A744" s="496">
        <v>6</v>
      </c>
      <c r="B744" s="506"/>
      <c r="C744" s="506"/>
      <c r="D744" s="1037"/>
      <c r="E744" s="496">
        <v>9</v>
      </c>
      <c r="F744" s="529" t="s">
        <v>1078</v>
      </c>
      <c r="G744" s="524" t="s">
        <v>1012</v>
      </c>
      <c r="H744" s="527">
        <v>1100</v>
      </c>
      <c r="I744" s="531" t="s">
        <v>58</v>
      </c>
      <c r="J744" s="79" t="s">
        <v>65</v>
      </c>
      <c r="K744" s="166" t="s">
        <v>360</v>
      </c>
      <c r="L744" s="82">
        <v>50</v>
      </c>
      <c r="M744" s="97" t="s">
        <v>223</v>
      </c>
    </row>
    <row r="745" spans="1:13" x14ac:dyDescent="0.2">
      <c r="A745" s="496">
        <v>6</v>
      </c>
      <c r="B745" s="602"/>
      <c r="C745" s="599" t="s">
        <v>1079</v>
      </c>
      <c r="D745" s="1036" t="s">
        <v>1080</v>
      </c>
      <c r="E745" s="603">
        <v>9</v>
      </c>
      <c r="F745" s="604" t="s">
        <v>1081</v>
      </c>
      <c r="G745" s="264" t="s">
        <v>19</v>
      </c>
      <c r="H745" s="527">
        <f>500-300-104.8</f>
        <v>95.2</v>
      </c>
      <c r="I745" s="607" t="s">
        <v>58</v>
      </c>
      <c r="J745" s="79" t="s">
        <v>2133</v>
      </c>
      <c r="K745" s="166" t="s">
        <v>1022</v>
      </c>
      <c r="L745" s="82">
        <v>100</v>
      </c>
      <c r="M745" s="83" t="s">
        <v>190</v>
      </c>
    </row>
    <row r="746" spans="1:13" x14ac:dyDescent="0.2">
      <c r="A746" s="496">
        <v>6</v>
      </c>
      <c r="B746" s="602"/>
      <c r="C746" s="602"/>
      <c r="D746" s="1027"/>
      <c r="E746" s="603">
        <v>9</v>
      </c>
      <c r="F746" s="604" t="s">
        <v>1081</v>
      </c>
      <c r="G746" s="264" t="s">
        <v>1012</v>
      </c>
      <c r="H746" s="527"/>
      <c r="I746" s="607" t="s">
        <v>58</v>
      </c>
      <c r="J746" s="79" t="s">
        <v>2133</v>
      </c>
      <c r="K746" s="166" t="s">
        <v>641</v>
      </c>
      <c r="L746" s="82" t="s">
        <v>641</v>
      </c>
      <c r="M746" s="83" t="s">
        <v>190</v>
      </c>
    </row>
    <row r="747" spans="1:13" x14ac:dyDescent="0.2">
      <c r="A747" s="496">
        <v>6</v>
      </c>
      <c r="B747" s="506"/>
      <c r="C747" s="506"/>
      <c r="D747" s="1027"/>
      <c r="E747" s="496">
        <v>9</v>
      </c>
      <c r="F747" s="530" t="s">
        <v>1081</v>
      </c>
      <c r="G747" s="582" t="s">
        <v>22</v>
      </c>
      <c r="H747" s="563">
        <f>206.4+300+3.6-400</f>
        <v>110</v>
      </c>
      <c r="I747" s="531" t="s">
        <v>58</v>
      </c>
      <c r="J747" s="79" t="s">
        <v>2133</v>
      </c>
      <c r="K747" s="166" t="s">
        <v>641</v>
      </c>
      <c r="L747" s="102" t="s">
        <v>641</v>
      </c>
      <c r="M747" s="97" t="s">
        <v>190</v>
      </c>
    </row>
    <row r="748" spans="1:13" x14ac:dyDescent="0.2">
      <c r="A748" s="496">
        <v>6</v>
      </c>
      <c r="B748" s="506"/>
      <c r="C748" s="506"/>
      <c r="D748" s="1027"/>
      <c r="E748" s="496">
        <v>9</v>
      </c>
      <c r="F748" s="530" t="s">
        <v>1081</v>
      </c>
      <c r="G748" s="524" t="s">
        <v>589</v>
      </c>
      <c r="H748" s="563">
        <v>104.8</v>
      </c>
      <c r="I748" s="531" t="s">
        <v>58</v>
      </c>
      <c r="J748" s="79" t="s">
        <v>2133</v>
      </c>
      <c r="K748" s="166" t="s">
        <v>641</v>
      </c>
      <c r="L748" s="102" t="s">
        <v>641</v>
      </c>
      <c r="M748" s="97" t="s">
        <v>190</v>
      </c>
    </row>
    <row r="749" spans="1:13" x14ac:dyDescent="0.2">
      <c r="A749" s="496">
        <v>6</v>
      </c>
      <c r="B749" s="506"/>
      <c r="C749" s="606"/>
      <c r="D749" s="1037"/>
      <c r="E749" s="496">
        <v>9</v>
      </c>
      <c r="F749" s="530" t="s">
        <v>1081</v>
      </c>
      <c r="G749" s="281" t="s">
        <v>248</v>
      </c>
      <c r="H749" s="563"/>
      <c r="I749" s="531" t="s">
        <v>58</v>
      </c>
      <c r="J749" s="79" t="s">
        <v>2133</v>
      </c>
      <c r="K749" s="166" t="s">
        <v>641</v>
      </c>
      <c r="L749" s="102" t="s">
        <v>641</v>
      </c>
      <c r="M749" s="97" t="s">
        <v>190</v>
      </c>
    </row>
    <row r="750" spans="1:13" x14ac:dyDescent="0.2">
      <c r="A750" s="496">
        <v>6</v>
      </c>
      <c r="B750" s="506"/>
      <c r="C750" s="599" t="s">
        <v>1082</v>
      </c>
      <c r="D750" s="1026" t="s">
        <v>1083</v>
      </c>
      <c r="E750" s="496" t="s">
        <v>465</v>
      </c>
      <c r="F750" s="529" t="s">
        <v>1084</v>
      </c>
      <c r="G750" s="524" t="s">
        <v>19</v>
      </c>
      <c r="H750" s="527">
        <f>24+21.5</f>
        <v>45.5</v>
      </c>
      <c r="I750" s="531" t="s">
        <v>58</v>
      </c>
      <c r="J750" s="76" t="s">
        <v>1085</v>
      </c>
      <c r="K750" s="166" t="s">
        <v>1086</v>
      </c>
      <c r="L750" s="82">
        <v>1</v>
      </c>
      <c r="M750" s="97" t="s">
        <v>183</v>
      </c>
    </row>
    <row r="751" spans="1:13" x14ac:dyDescent="0.2">
      <c r="A751" s="496">
        <v>6</v>
      </c>
      <c r="B751" s="506"/>
      <c r="C751" s="506"/>
      <c r="D751" s="1037"/>
      <c r="E751" s="496" t="s">
        <v>465</v>
      </c>
      <c r="F751" s="529" t="s">
        <v>1084</v>
      </c>
      <c r="G751" s="524" t="s">
        <v>1012</v>
      </c>
      <c r="H751" s="527">
        <v>500</v>
      </c>
      <c r="I751" s="531" t="s">
        <v>196</v>
      </c>
      <c r="J751" s="76" t="s">
        <v>1085</v>
      </c>
      <c r="K751" s="166" t="s">
        <v>360</v>
      </c>
      <c r="L751" s="82">
        <v>50</v>
      </c>
      <c r="M751" s="97" t="s">
        <v>183</v>
      </c>
    </row>
    <row r="752" spans="1:13" ht="45" x14ac:dyDescent="0.2">
      <c r="A752" s="496">
        <v>6</v>
      </c>
      <c r="B752" s="506"/>
      <c r="C752" s="599" t="s">
        <v>1087</v>
      </c>
      <c r="D752" s="277" t="s">
        <v>1088</v>
      </c>
      <c r="E752" s="496">
        <v>9</v>
      </c>
      <c r="F752" s="529" t="s">
        <v>1089</v>
      </c>
      <c r="G752" s="524" t="s">
        <v>19</v>
      </c>
      <c r="H752" s="527">
        <v>8.3000000000000007</v>
      </c>
      <c r="I752" s="531" t="s">
        <v>58</v>
      </c>
      <c r="J752" s="79"/>
      <c r="K752" s="166"/>
      <c r="L752" s="82"/>
      <c r="M752" s="83" t="s">
        <v>190</v>
      </c>
    </row>
    <row r="753" spans="1:13" x14ac:dyDescent="0.2">
      <c r="A753" s="496">
        <v>6</v>
      </c>
      <c r="B753" s="506"/>
      <c r="C753" s="608" t="s">
        <v>1090</v>
      </c>
      <c r="D753" s="1045" t="s">
        <v>1091</v>
      </c>
      <c r="E753" s="496">
        <v>9</v>
      </c>
      <c r="F753" s="529" t="s">
        <v>1092</v>
      </c>
      <c r="G753" s="524" t="s">
        <v>19</v>
      </c>
      <c r="H753" s="527">
        <f>20-20</f>
        <v>0</v>
      </c>
      <c r="I753" s="609" t="s">
        <v>641</v>
      </c>
      <c r="J753" s="79" t="s">
        <v>2133</v>
      </c>
      <c r="K753" s="166" t="s">
        <v>360</v>
      </c>
      <c r="L753" s="82">
        <v>30</v>
      </c>
      <c r="M753" s="83" t="s">
        <v>223</v>
      </c>
    </row>
    <row r="754" spans="1:13" x14ac:dyDescent="0.2">
      <c r="A754" s="496">
        <v>6</v>
      </c>
      <c r="B754" s="506"/>
      <c r="C754" s="610"/>
      <c r="D754" s="1046"/>
      <c r="E754" s="496">
        <v>9</v>
      </c>
      <c r="F754" s="529" t="s">
        <v>1092</v>
      </c>
      <c r="G754" s="524" t="s">
        <v>1012</v>
      </c>
      <c r="H754" s="527"/>
      <c r="I754" s="531" t="s">
        <v>641</v>
      </c>
      <c r="J754" s="79" t="s">
        <v>641</v>
      </c>
      <c r="K754" s="166" t="s">
        <v>641</v>
      </c>
      <c r="L754" s="82" t="s">
        <v>641</v>
      </c>
      <c r="M754" s="83" t="s">
        <v>223</v>
      </c>
    </row>
    <row r="755" spans="1:13" x14ac:dyDescent="0.2">
      <c r="A755" s="496">
        <v>6</v>
      </c>
      <c r="B755" s="506"/>
      <c r="C755" s="608" t="s">
        <v>1093</v>
      </c>
      <c r="D755" s="1045" t="s">
        <v>1094</v>
      </c>
      <c r="E755" s="496">
        <v>9</v>
      </c>
      <c r="F755" s="529" t="s">
        <v>1095</v>
      </c>
      <c r="G755" s="524" t="s">
        <v>19</v>
      </c>
      <c r="H755" s="527"/>
      <c r="I755" s="531" t="s">
        <v>641</v>
      </c>
      <c r="J755" s="79" t="s">
        <v>641</v>
      </c>
      <c r="K755" s="166" t="s">
        <v>641</v>
      </c>
      <c r="L755" s="82" t="s">
        <v>641</v>
      </c>
      <c r="M755" s="83" t="s">
        <v>223</v>
      </c>
    </row>
    <row r="756" spans="1:13" x14ac:dyDescent="0.2">
      <c r="A756" s="496">
        <v>6</v>
      </c>
      <c r="B756" s="506"/>
      <c r="C756" s="610"/>
      <c r="D756" s="1046"/>
      <c r="E756" s="496">
        <v>9</v>
      </c>
      <c r="F756" s="529" t="s">
        <v>1095</v>
      </c>
      <c r="G756" s="524" t="s">
        <v>1012</v>
      </c>
      <c r="H756" s="527"/>
      <c r="I756" s="531" t="s">
        <v>641</v>
      </c>
      <c r="J756" s="79" t="s">
        <v>641</v>
      </c>
      <c r="K756" s="166" t="s">
        <v>641</v>
      </c>
      <c r="L756" s="82" t="s">
        <v>641</v>
      </c>
      <c r="M756" s="83" t="s">
        <v>223</v>
      </c>
    </row>
    <row r="757" spans="1:13" ht="22.5" x14ac:dyDescent="0.2">
      <c r="A757" s="496">
        <v>6</v>
      </c>
      <c r="B757" s="506"/>
      <c r="C757" s="608" t="s">
        <v>1096</v>
      </c>
      <c r="D757" s="549" t="s">
        <v>1097</v>
      </c>
      <c r="E757" s="496">
        <v>9</v>
      </c>
      <c r="F757" s="529" t="s">
        <v>1098</v>
      </c>
      <c r="G757" s="524" t="s">
        <v>19</v>
      </c>
      <c r="H757" s="527"/>
      <c r="I757" s="531" t="s">
        <v>641</v>
      </c>
      <c r="J757" s="79" t="s">
        <v>641</v>
      </c>
      <c r="K757" s="166" t="s">
        <v>641</v>
      </c>
      <c r="L757" s="82" t="s">
        <v>641</v>
      </c>
      <c r="M757" s="83" t="s">
        <v>246</v>
      </c>
    </row>
    <row r="758" spans="1:13" ht="33.75" x14ac:dyDescent="0.2">
      <c r="A758" s="496">
        <v>6</v>
      </c>
      <c r="B758" s="506"/>
      <c r="C758" s="599" t="s">
        <v>1099</v>
      </c>
      <c r="D758" s="611" t="s">
        <v>1100</v>
      </c>
      <c r="E758" s="496">
        <v>9</v>
      </c>
      <c r="F758" s="529" t="s">
        <v>1101</v>
      </c>
      <c r="G758" s="524" t="s">
        <v>19</v>
      </c>
      <c r="H758" s="563">
        <v>40</v>
      </c>
      <c r="I758" s="531" t="s">
        <v>64</v>
      </c>
      <c r="J758" s="79" t="s">
        <v>1873</v>
      </c>
      <c r="K758" s="166" t="s">
        <v>908</v>
      </c>
      <c r="L758" s="80">
        <v>100</v>
      </c>
      <c r="M758" s="97" t="s">
        <v>641</v>
      </c>
    </row>
    <row r="759" spans="1:13" ht="21" customHeight="1" x14ac:dyDescent="0.2">
      <c r="A759" s="496">
        <v>6</v>
      </c>
      <c r="B759" s="231" t="s">
        <v>1102</v>
      </c>
      <c r="C759" s="231" t="s">
        <v>1102</v>
      </c>
      <c r="D759" s="612" t="s">
        <v>1103</v>
      </c>
      <c r="E759" s="505"/>
      <c r="F759" s="505"/>
      <c r="G759" s="521"/>
      <c r="H759" s="521"/>
      <c r="I759" s="235" t="s">
        <v>641</v>
      </c>
      <c r="J759" s="79" t="s">
        <v>641</v>
      </c>
      <c r="K759" s="166" t="s">
        <v>641</v>
      </c>
      <c r="L759" s="82" t="s">
        <v>641</v>
      </c>
      <c r="M759" s="83" t="s">
        <v>641</v>
      </c>
    </row>
    <row r="760" spans="1:13" x14ac:dyDescent="0.2">
      <c r="A760" s="496">
        <v>6</v>
      </c>
      <c r="B760" s="613"/>
      <c r="C760" s="613"/>
      <c r="D760" s="614"/>
      <c r="E760" s="593"/>
      <c r="F760" s="489"/>
      <c r="G760" s="509" t="s">
        <v>19</v>
      </c>
      <c r="H760" s="509">
        <f>SUM(H764,H768,H762,H761,H765,H766)</f>
        <v>90</v>
      </c>
      <c r="I760" s="235" t="s">
        <v>641</v>
      </c>
      <c r="J760" s="79" t="s">
        <v>641</v>
      </c>
      <c r="K760" s="166" t="s">
        <v>641</v>
      </c>
      <c r="L760" s="82" t="s">
        <v>641</v>
      </c>
      <c r="M760" s="83" t="s">
        <v>641</v>
      </c>
    </row>
    <row r="761" spans="1:13" ht="45" x14ac:dyDescent="0.2">
      <c r="A761" s="496">
        <v>6</v>
      </c>
      <c r="B761" s="506"/>
      <c r="C761" s="506" t="s">
        <v>1104</v>
      </c>
      <c r="D761" s="507" t="s">
        <v>1105</v>
      </c>
      <c r="E761" s="511">
        <v>9</v>
      </c>
      <c r="F761" s="615" t="s">
        <v>1106</v>
      </c>
      <c r="G761" s="569" t="s">
        <v>19</v>
      </c>
      <c r="H761" s="512">
        <v>10</v>
      </c>
      <c r="I761" s="235" t="s">
        <v>49</v>
      </c>
      <c r="J761" s="79" t="s">
        <v>1873</v>
      </c>
      <c r="K761" s="166" t="s">
        <v>1107</v>
      </c>
      <c r="L761" s="82">
        <v>100</v>
      </c>
      <c r="M761" s="83" t="s">
        <v>641</v>
      </c>
    </row>
    <row r="762" spans="1:13" ht="22.5" x14ac:dyDescent="0.2">
      <c r="A762" s="496">
        <v>6</v>
      </c>
      <c r="B762" s="506"/>
      <c r="C762" s="506"/>
      <c r="D762" s="507"/>
      <c r="E762" s="511">
        <v>9</v>
      </c>
      <c r="F762" s="615" t="s">
        <v>1106</v>
      </c>
      <c r="G762" s="569" t="s">
        <v>19</v>
      </c>
      <c r="H762" s="525"/>
      <c r="I762" s="235" t="s">
        <v>196</v>
      </c>
      <c r="J762" s="79" t="s">
        <v>2028</v>
      </c>
      <c r="K762" s="166" t="s">
        <v>1108</v>
      </c>
      <c r="L762" s="82">
        <v>1</v>
      </c>
      <c r="M762" s="83" t="s">
        <v>641</v>
      </c>
    </row>
    <row r="763" spans="1:13" x14ac:dyDescent="0.2">
      <c r="A763" s="496">
        <v>6</v>
      </c>
      <c r="B763" s="506"/>
      <c r="C763" s="506"/>
      <c r="D763" s="507"/>
      <c r="E763" s="511"/>
      <c r="F763" s="615" t="s">
        <v>1106</v>
      </c>
      <c r="G763" s="513" t="s">
        <v>247</v>
      </c>
      <c r="H763" s="220">
        <f>SUM(H761:H762)</f>
        <v>10</v>
      </c>
      <c r="I763" s="235" t="s">
        <v>641</v>
      </c>
      <c r="J763" s="79" t="s">
        <v>641</v>
      </c>
      <c r="K763" s="166" t="s">
        <v>641</v>
      </c>
      <c r="L763" s="82" t="s">
        <v>641</v>
      </c>
      <c r="M763" s="83" t="s">
        <v>641</v>
      </c>
    </row>
    <row r="764" spans="1:13" ht="22.5" x14ac:dyDescent="0.2">
      <c r="A764" s="496">
        <v>6</v>
      </c>
      <c r="B764" s="506"/>
      <c r="C764" s="506" t="s">
        <v>1109</v>
      </c>
      <c r="D764" s="507" t="s">
        <v>1110</v>
      </c>
      <c r="E764" s="511">
        <v>9</v>
      </c>
      <c r="F764" s="508" t="s">
        <v>1111</v>
      </c>
      <c r="G764" s="490" t="s">
        <v>19</v>
      </c>
      <c r="H764" s="219"/>
      <c r="I764" s="235" t="s">
        <v>641</v>
      </c>
      <c r="J764" s="79"/>
      <c r="K764" s="166"/>
      <c r="L764" s="82"/>
      <c r="M764" s="83" t="s">
        <v>67</v>
      </c>
    </row>
    <row r="765" spans="1:13" ht="22.5" x14ac:dyDescent="0.2">
      <c r="A765" s="496">
        <v>6</v>
      </c>
      <c r="B765" s="506"/>
      <c r="C765" s="506"/>
      <c r="D765" s="616" t="s">
        <v>1112</v>
      </c>
      <c r="E765" s="511">
        <v>23</v>
      </c>
      <c r="F765" s="508" t="s">
        <v>1111</v>
      </c>
      <c r="G765" s="571" t="s">
        <v>19</v>
      </c>
      <c r="H765" s="512">
        <v>15</v>
      </c>
      <c r="I765" s="235" t="s">
        <v>49</v>
      </c>
      <c r="J765" s="858" t="s">
        <v>1113</v>
      </c>
      <c r="K765" s="863" t="s">
        <v>1114</v>
      </c>
      <c r="L765" s="864">
        <v>3</v>
      </c>
      <c r="M765" s="83" t="s">
        <v>67</v>
      </c>
    </row>
    <row r="766" spans="1:13" x14ac:dyDescent="0.2">
      <c r="A766" s="496">
        <v>6</v>
      </c>
      <c r="B766" s="506"/>
      <c r="C766" s="506"/>
      <c r="D766" s="616" t="s">
        <v>1115</v>
      </c>
      <c r="E766" s="511">
        <v>9</v>
      </c>
      <c r="F766" s="508" t="s">
        <v>1111</v>
      </c>
      <c r="G766" s="571" t="s">
        <v>19</v>
      </c>
      <c r="H766" s="512"/>
      <c r="I766" s="235" t="s">
        <v>196</v>
      </c>
      <c r="J766" s="79"/>
      <c r="K766" s="166"/>
      <c r="L766" s="82"/>
      <c r="M766" s="83" t="s">
        <v>67</v>
      </c>
    </row>
    <row r="767" spans="1:13" x14ac:dyDescent="0.2">
      <c r="A767" s="496">
        <v>6</v>
      </c>
      <c r="B767" s="506"/>
      <c r="C767" s="506"/>
      <c r="D767" s="616"/>
      <c r="E767" s="511"/>
      <c r="F767" s="508"/>
      <c r="G767" s="513" t="s">
        <v>247</v>
      </c>
      <c r="H767" s="220">
        <f>SUM(H765:H766)</f>
        <v>15</v>
      </c>
      <c r="I767" s="235" t="s">
        <v>641</v>
      </c>
      <c r="J767" s="79" t="s">
        <v>641</v>
      </c>
      <c r="K767" s="166" t="s">
        <v>641</v>
      </c>
      <c r="L767" s="82" t="s">
        <v>641</v>
      </c>
      <c r="M767" s="83" t="s">
        <v>641</v>
      </c>
    </row>
    <row r="768" spans="1:13" ht="33.75" x14ac:dyDescent="0.2">
      <c r="A768" s="496">
        <v>6</v>
      </c>
      <c r="B768" s="506"/>
      <c r="C768" s="506" t="s">
        <v>1116</v>
      </c>
      <c r="D768" s="507" t="s">
        <v>1117</v>
      </c>
      <c r="E768" s="511">
        <v>13</v>
      </c>
      <c r="F768" s="508" t="s">
        <v>1118</v>
      </c>
      <c r="G768" s="490" t="s">
        <v>19</v>
      </c>
      <c r="H768" s="512">
        <v>65</v>
      </c>
      <c r="I768" s="235" t="s">
        <v>49</v>
      </c>
      <c r="J768" s="79" t="s">
        <v>1789</v>
      </c>
      <c r="K768" s="166" t="s">
        <v>1119</v>
      </c>
      <c r="L768" s="82">
        <v>100</v>
      </c>
      <c r="M768" s="83" t="s">
        <v>641</v>
      </c>
    </row>
    <row r="769" spans="1:13" x14ac:dyDescent="0.2">
      <c r="A769" s="496">
        <v>6</v>
      </c>
      <c r="B769" s="506"/>
      <c r="C769" s="506"/>
      <c r="D769" s="507"/>
      <c r="E769" s="511"/>
      <c r="F769" s="508" t="s">
        <v>1118</v>
      </c>
      <c r="G769" s="513" t="s">
        <v>247</v>
      </c>
      <c r="H769" s="220">
        <f>SUM(H768)</f>
        <v>65</v>
      </c>
      <c r="I769" s="235" t="s">
        <v>641</v>
      </c>
      <c r="J769" s="79" t="s">
        <v>641</v>
      </c>
      <c r="K769" s="166" t="s">
        <v>641</v>
      </c>
      <c r="L769" s="82" t="s">
        <v>641</v>
      </c>
      <c r="M769" s="83" t="s">
        <v>641</v>
      </c>
    </row>
    <row r="770" spans="1:13" ht="22.5" x14ac:dyDescent="0.2">
      <c r="A770" s="496">
        <v>6</v>
      </c>
      <c r="B770" s="497"/>
      <c r="C770" s="497"/>
      <c r="D770" s="498" t="s">
        <v>1120</v>
      </c>
      <c r="E770" s="517"/>
      <c r="F770" s="518"/>
      <c r="G770" s="519"/>
      <c r="H770" s="520"/>
      <c r="I770" s="503" t="s">
        <v>641</v>
      </c>
      <c r="J770" s="86" t="s">
        <v>641</v>
      </c>
      <c r="K770" s="167" t="s">
        <v>641</v>
      </c>
      <c r="L770" s="87" t="s">
        <v>641</v>
      </c>
      <c r="M770" s="88" t="s">
        <v>641</v>
      </c>
    </row>
    <row r="771" spans="1:13" ht="33.75" x14ac:dyDescent="0.2">
      <c r="A771" s="496">
        <v>6</v>
      </c>
      <c r="B771" s="231" t="s">
        <v>1121</v>
      </c>
      <c r="C771" s="231" t="s">
        <v>1121</v>
      </c>
      <c r="D771" s="504" t="s">
        <v>1122</v>
      </c>
      <c r="E771" s="505"/>
      <c r="F771" s="505"/>
      <c r="G771" s="617"/>
      <c r="H771" s="521"/>
      <c r="I771" s="531" t="s">
        <v>641</v>
      </c>
      <c r="J771" s="79" t="s">
        <v>641</v>
      </c>
      <c r="K771" s="166" t="s">
        <v>641</v>
      </c>
      <c r="L771" s="80" t="s">
        <v>641</v>
      </c>
      <c r="M771" s="81" t="s">
        <v>641</v>
      </c>
    </row>
    <row r="772" spans="1:13" x14ac:dyDescent="0.2">
      <c r="A772" s="496">
        <v>6</v>
      </c>
      <c r="B772" s="613"/>
      <c r="C772" s="613"/>
      <c r="D772" s="614"/>
      <c r="E772" s="532"/>
      <c r="F772" s="565"/>
      <c r="G772" s="618" t="s">
        <v>19</v>
      </c>
      <c r="H772" s="320">
        <f>SUM(H775,H777,H778)</f>
        <v>50</v>
      </c>
      <c r="I772" s="531" t="s">
        <v>641</v>
      </c>
      <c r="J772" s="79" t="s">
        <v>641</v>
      </c>
      <c r="K772" s="166" t="s">
        <v>641</v>
      </c>
      <c r="L772" s="80" t="s">
        <v>641</v>
      </c>
      <c r="M772" s="81" t="s">
        <v>641</v>
      </c>
    </row>
    <row r="773" spans="1:13" x14ac:dyDescent="0.2">
      <c r="A773" s="496">
        <v>6</v>
      </c>
      <c r="B773" s="613"/>
      <c r="C773" s="613"/>
      <c r="D773" s="614"/>
      <c r="E773" s="532"/>
      <c r="F773" s="565"/>
      <c r="G773" s="618" t="s">
        <v>177</v>
      </c>
      <c r="H773" s="320">
        <f>H776</f>
        <v>0</v>
      </c>
      <c r="I773" s="531"/>
      <c r="J773" s="79"/>
      <c r="K773" s="166"/>
      <c r="L773" s="80"/>
      <c r="M773" s="81"/>
    </row>
    <row r="774" spans="1:13" x14ac:dyDescent="0.2">
      <c r="A774" s="496">
        <v>6</v>
      </c>
      <c r="B774" s="613"/>
      <c r="C774" s="613"/>
      <c r="D774" s="614"/>
      <c r="E774" s="532"/>
      <c r="F774" s="565"/>
      <c r="G774" s="513" t="s">
        <v>247</v>
      </c>
      <c r="H774" s="220">
        <f>SUM(H772,H773)</f>
        <v>50</v>
      </c>
      <c r="I774" s="531"/>
      <c r="J774" s="79"/>
      <c r="K774" s="166"/>
      <c r="L774" s="80"/>
      <c r="M774" s="81"/>
    </row>
    <row r="775" spans="1:13" ht="16.149999999999999" customHeight="1" x14ac:dyDescent="0.2">
      <c r="A775" s="496">
        <v>6</v>
      </c>
      <c r="B775" s="506"/>
      <c r="C775" s="506" t="s">
        <v>1124</v>
      </c>
      <c r="D775" s="1036" t="s">
        <v>1125</v>
      </c>
      <c r="E775" s="511">
        <v>9</v>
      </c>
      <c r="F775" s="508" t="s">
        <v>1123</v>
      </c>
      <c r="G775" s="490" t="s">
        <v>19</v>
      </c>
      <c r="H775" s="619">
        <f>1425.4-1000-100-100-225.4</f>
        <v>0</v>
      </c>
      <c r="I775" s="235" t="s">
        <v>58</v>
      </c>
      <c r="J775" s="76" t="s">
        <v>1873</v>
      </c>
      <c r="K775" s="164" t="s">
        <v>1022</v>
      </c>
      <c r="L775" s="102">
        <v>100</v>
      </c>
      <c r="M775" s="97" t="s">
        <v>183</v>
      </c>
    </row>
    <row r="776" spans="1:13" ht="30.6" customHeight="1" x14ac:dyDescent="0.2">
      <c r="A776" s="496">
        <v>6</v>
      </c>
      <c r="B776" s="506"/>
      <c r="C776" s="506"/>
      <c r="D776" s="1037"/>
      <c r="E776" s="511">
        <v>9</v>
      </c>
      <c r="F776" s="508" t="s">
        <v>1123</v>
      </c>
      <c r="G776" s="490" t="s">
        <v>177</v>
      </c>
      <c r="H776" s="619">
        <f>1200-500-700</f>
        <v>0</v>
      </c>
      <c r="I776" s="235"/>
      <c r="J776" s="76" t="s">
        <v>1873</v>
      </c>
      <c r="K776" s="164"/>
      <c r="L776" s="102"/>
      <c r="M776" s="97"/>
    </row>
    <row r="777" spans="1:13" ht="18" customHeight="1" x14ac:dyDescent="0.2">
      <c r="A777" s="496">
        <v>6</v>
      </c>
      <c r="B777" s="506"/>
      <c r="C777" s="506" t="s">
        <v>1126</v>
      </c>
      <c r="D777" s="1036" t="s">
        <v>1127</v>
      </c>
      <c r="E777" s="511">
        <v>9</v>
      </c>
      <c r="F777" s="508" t="s">
        <v>1128</v>
      </c>
      <c r="G777" s="490" t="s">
        <v>19</v>
      </c>
      <c r="H777" s="527">
        <v>35</v>
      </c>
      <c r="I777" s="235" t="s">
        <v>641</v>
      </c>
      <c r="J777" s="76" t="s">
        <v>1873</v>
      </c>
      <c r="K777" s="166" t="s">
        <v>1129</v>
      </c>
      <c r="L777" s="102">
        <v>1</v>
      </c>
      <c r="M777" s="97" t="s">
        <v>641</v>
      </c>
    </row>
    <row r="778" spans="1:13" ht="56.25" x14ac:dyDescent="0.2">
      <c r="A778" s="496">
        <v>6</v>
      </c>
      <c r="B778" s="506"/>
      <c r="C778" s="506"/>
      <c r="D778" s="1037"/>
      <c r="E778" s="511">
        <v>27</v>
      </c>
      <c r="F778" s="508" t="s">
        <v>2043</v>
      </c>
      <c r="G778" s="490" t="s">
        <v>19</v>
      </c>
      <c r="H778" s="527">
        <v>15</v>
      </c>
      <c r="I778" s="235" t="s">
        <v>641</v>
      </c>
      <c r="J778" s="76" t="s">
        <v>1130</v>
      </c>
      <c r="K778" s="76" t="s">
        <v>1131</v>
      </c>
      <c r="L778" s="861" t="s">
        <v>1132</v>
      </c>
      <c r="M778" s="97" t="s">
        <v>641</v>
      </c>
    </row>
    <row r="779" spans="1:13" x14ac:dyDescent="0.2">
      <c r="A779" s="496">
        <v>6</v>
      </c>
      <c r="B779" s="231" t="s">
        <v>1133</v>
      </c>
      <c r="C779" s="231" t="s">
        <v>1133</v>
      </c>
      <c r="D779" s="504" t="s">
        <v>1134</v>
      </c>
      <c r="E779" s="505">
        <v>9</v>
      </c>
      <c r="F779" s="505" t="s">
        <v>1135</v>
      </c>
      <c r="G779" s="521" t="s">
        <v>19</v>
      </c>
      <c r="H779" s="521">
        <f>H784+H785</f>
        <v>95</v>
      </c>
      <c r="I779" s="531" t="s">
        <v>58</v>
      </c>
      <c r="J779" s="79" t="s">
        <v>641</v>
      </c>
      <c r="K779" s="165" t="s">
        <v>641</v>
      </c>
      <c r="L779" s="82" t="s">
        <v>641</v>
      </c>
      <c r="M779" s="83" t="s">
        <v>641</v>
      </c>
    </row>
    <row r="780" spans="1:13" x14ac:dyDescent="0.2">
      <c r="A780" s="496">
        <v>6</v>
      </c>
      <c r="B780" s="613"/>
      <c r="C780" s="613"/>
      <c r="D780" s="614"/>
      <c r="E780" s="532"/>
      <c r="F780" s="565"/>
      <c r="G780" s="620" t="s">
        <v>22</v>
      </c>
      <c r="H780" s="320">
        <f>H783</f>
        <v>7.2</v>
      </c>
      <c r="I780" s="531" t="s">
        <v>641</v>
      </c>
      <c r="J780" s="79" t="s">
        <v>641</v>
      </c>
      <c r="K780" s="166" t="s">
        <v>641</v>
      </c>
      <c r="L780" s="82" t="s">
        <v>641</v>
      </c>
      <c r="M780" s="83" t="s">
        <v>641</v>
      </c>
    </row>
    <row r="781" spans="1:13" x14ac:dyDescent="0.2">
      <c r="A781" s="496">
        <v>6</v>
      </c>
      <c r="B781" s="613"/>
      <c r="C781" s="613"/>
      <c r="D781" s="614"/>
      <c r="E781" s="532"/>
      <c r="F781" s="565"/>
      <c r="G781" s="620" t="s">
        <v>249</v>
      </c>
      <c r="H781" s="320"/>
      <c r="I781" s="531" t="s">
        <v>641</v>
      </c>
      <c r="J781" s="79" t="s">
        <v>641</v>
      </c>
      <c r="K781" s="166" t="s">
        <v>641</v>
      </c>
      <c r="L781" s="82" t="s">
        <v>641</v>
      </c>
      <c r="M781" s="83" t="s">
        <v>641</v>
      </c>
    </row>
    <row r="782" spans="1:13" x14ac:dyDescent="0.2">
      <c r="A782" s="496">
        <v>6</v>
      </c>
      <c r="B782" s="613"/>
      <c r="C782" s="613"/>
      <c r="D782" s="614"/>
      <c r="E782" s="532"/>
      <c r="F782" s="565"/>
      <c r="G782" s="513" t="s">
        <v>247</v>
      </c>
      <c r="H782" s="220">
        <f>SUM(H780,H779,H781)</f>
        <v>102.2</v>
      </c>
      <c r="I782" s="531" t="s">
        <v>641</v>
      </c>
      <c r="J782" s="79" t="s">
        <v>641</v>
      </c>
      <c r="K782" s="166" t="s">
        <v>641</v>
      </c>
      <c r="L782" s="82" t="s">
        <v>641</v>
      </c>
      <c r="M782" s="83" t="s">
        <v>641</v>
      </c>
    </row>
    <row r="783" spans="1:13" x14ac:dyDescent="0.2">
      <c r="A783" s="496">
        <v>6</v>
      </c>
      <c r="B783" s="506"/>
      <c r="C783" s="506" t="s">
        <v>1136</v>
      </c>
      <c r="D783" s="621" t="s">
        <v>1137</v>
      </c>
      <c r="E783" s="511">
        <v>9</v>
      </c>
      <c r="F783" s="508" t="s">
        <v>1135</v>
      </c>
      <c r="G783" s="582" t="s">
        <v>22</v>
      </c>
      <c r="H783" s="219">
        <v>7.2</v>
      </c>
      <c r="I783" s="235" t="s">
        <v>641</v>
      </c>
      <c r="J783" s="79" t="s">
        <v>387</v>
      </c>
      <c r="K783" s="166" t="s">
        <v>1138</v>
      </c>
      <c r="L783" s="82">
        <v>2</v>
      </c>
      <c r="M783" s="83" t="s">
        <v>641</v>
      </c>
    </row>
    <row r="784" spans="1:13" ht="22.5" x14ac:dyDescent="0.2">
      <c r="A784" s="496">
        <v>6</v>
      </c>
      <c r="B784" s="506"/>
      <c r="C784" s="506" t="s">
        <v>1139</v>
      </c>
      <c r="D784" s="256" t="s">
        <v>1140</v>
      </c>
      <c r="E784" s="511">
        <v>9</v>
      </c>
      <c r="F784" s="508" t="s">
        <v>1135</v>
      </c>
      <c r="G784" s="571" t="s">
        <v>19</v>
      </c>
      <c r="H784" s="619"/>
      <c r="I784" s="235" t="s">
        <v>58</v>
      </c>
      <c r="J784" s="79"/>
      <c r="K784" s="166"/>
      <c r="L784" s="82"/>
      <c r="M784" s="83" t="s">
        <v>1141</v>
      </c>
    </row>
    <row r="785" spans="1:13" ht="22.5" x14ac:dyDescent="0.2">
      <c r="A785" s="496">
        <v>6</v>
      </c>
      <c r="B785" s="506"/>
      <c r="C785" s="506" t="s">
        <v>1142</v>
      </c>
      <c r="D785" s="256" t="s">
        <v>1143</v>
      </c>
      <c r="E785" s="511">
        <v>9</v>
      </c>
      <c r="F785" s="508" t="s">
        <v>1135</v>
      </c>
      <c r="G785" s="571" t="s">
        <v>19</v>
      </c>
      <c r="H785" s="619">
        <v>95</v>
      </c>
      <c r="I785" s="235" t="s">
        <v>196</v>
      </c>
      <c r="J785" s="76" t="s">
        <v>387</v>
      </c>
      <c r="K785" s="164" t="s">
        <v>1144</v>
      </c>
      <c r="L785" s="102">
        <v>1</v>
      </c>
      <c r="M785" s="97" t="s">
        <v>223</v>
      </c>
    </row>
    <row r="786" spans="1:13" ht="22.5" x14ac:dyDescent="0.2">
      <c r="A786" s="496">
        <v>6</v>
      </c>
      <c r="B786" s="497"/>
      <c r="C786" s="497"/>
      <c r="D786" s="498" t="s">
        <v>1145</v>
      </c>
      <c r="E786" s="517"/>
      <c r="F786" s="518"/>
      <c r="G786" s="519"/>
      <c r="H786" s="520"/>
      <c r="I786" s="503" t="s">
        <v>641</v>
      </c>
      <c r="J786" s="86" t="s">
        <v>641</v>
      </c>
      <c r="K786" s="167" t="s">
        <v>641</v>
      </c>
      <c r="L786" s="87" t="s">
        <v>641</v>
      </c>
      <c r="M786" s="88" t="s">
        <v>641</v>
      </c>
    </row>
    <row r="787" spans="1:13" ht="22.5" x14ac:dyDescent="0.2">
      <c r="A787" s="496">
        <v>6</v>
      </c>
      <c r="B787" s="231" t="s">
        <v>1146</v>
      </c>
      <c r="C787" s="231" t="s">
        <v>1146</v>
      </c>
      <c r="D787" s="504" t="s">
        <v>1147</v>
      </c>
      <c r="E787" s="505"/>
      <c r="F787" s="505"/>
      <c r="G787" s="521"/>
      <c r="H787" s="521"/>
      <c r="I787" s="235" t="s">
        <v>641</v>
      </c>
      <c r="J787" s="79" t="s">
        <v>641</v>
      </c>
      <c r="K787" s="166" t="s">
        <v>641</v>
      </c>
      <c r="L787" s="82" t="s">
        <v>641</v>
      </c>
      <c r="M787" s="83" t="s">
        <v>641</v>
      </c>
    </row>
    <row r="788" spans="1:13" x14ac:dyDescent="0.2">
      <c r="A788" s="496">
        <v>6</v>
      </c>
      <c r="B788" s="613"/>
      <c r="C788" s="613"/>
      <c r="D788" s="614"/>
      <c r="E788" s="532"/>
      <c r="F788" s="565"/>
      <c r="G788" s="618" t="s">
        <v>19</v>
      </c>
      <c r="H788" s="320">
        <f>SUM(H791,H790,H792)</f>
        <v>1550</v>
      </c>
      <c r="I788" s="235" t="s">
        <v>641</v>
      </c>
      <c r="J788" s="79" t="s">
        <v>641</v>
      </c>
      <c r="K788" s="166" t="s">
        <v>641</v>
      </c>
      <c r="L788" s="82" t="s">
        <v>641</v>
      </c>
      <c r="M788" s="83" t="s">
        <v>641</v>
      </c>
    </row>
    <row r="789" spans="1:13" x14ac:dyDescent="0.2">
      <c r="A789" s="496">
        <v>6</v>
      </c>
      <c r="B789" s="613"/>
      <c r="C789" s="613"/>
      <c r="D789" s="614"/>
      <c r="E789" s="532"/>
      <c r="F789" s="565"/>
      <c r="G789" s="513" t="s">
        <v>247</v>
      </c>
      <c r="H789" s="220">
        <f>H788</f>
        <v>1550</v>
      </c>
      <c r="I789" s="235" t="s">
        <v>641</v>
      </c>
      <c r="J789" s="79" t="s">
        <v>641</v>
      </c>
      <c r="K789" s="166" t="s">
        <v>641</v>
      </c>
      <c r="L789" s="82" t="s">
        <v>641</v>
      </c>
      <c r="M789" s="83" t="s">
        <v>641</v>
      </c>
    </row>
    <row r="790" spans="1:13" ht="22.5" x14ac:dyDescent="0.2">
      <c r="A790" s="496">
        <v>6</v>
      </c>
      <c r="B790" s="514"/>
      <c r="C790" s="514" t="s">
        <v>1148</v>
      </c>
      <c r="D790" s="507" t="s">
        <v>1149</v>
      </c>
      <c r="E790" s="622">
        <v>9</v>
      </c>
      <c r="F790" s="490" t="s">
        <v>1150</v>
      </c>
      <c r="G790" s="489" t="s">
        <v>19</v>
      </c>
      <c r="H790" s="219">
        <v>150</v>
      </c>
      <c r="I790" s="235" t="s">
        <v>49</v>
      </c>
      <c r="J790" s="79" t="s">
        <v>387</v>
      </c>
      <c r="K790" s="166" t="s">
        <v>1151</v>
      </c>
      <c r="L790" s="80">
        <v>100</v>
      </c>
      <c r="M790" s="81" t="s">
        <v>641</v>
      </c>
    </row>
    <row r="791" spans="1:13" ht="67.5" x14ac:dyDescent="0.2">
      <c r="A791" s="496">
        <v>6</v>
      </c>
      <c r="B791" s="514"/>
      <c r="C791" s="514" t="s">
        <v>1152</v>
      </c>
      <c r="D791" s="507" t="s">
        <v>1153</v>
      </c>
      <c r="E791" s="622">
        <v>9</v>
      </c>
      <c r="F791" s="490" t="s">
        <v>1154</v>
      </c>
      <c r="G791" s="489" t="s">
        <v>19</v>
      </c>
      <c r="H791" s="219">
        <v>200</v>
      </c>
      <c r="I791" s="235" t="s">
        <v>58</v>
      </c>
      <c r="J791" s="79" t="s">
        <v>387</v>
      </c>
      <c r="K791" s="166" t="s">
        <v>1155</v>
      </c>
      <c r="L791" s="80">
        <v>100</v>
      </c>
      <c r="M791" s="114" t="s">
        <v>641</v>
      </c>
    </row>
    <row r="792" spans="1:13" ht="22.5" x14ac:dyDescent="0.2">
      <c r="A792" s="496">
        <v>6</v>
      </c>
      <c r="B792" s="514"/>
      <c r="C792" s="514" t="s">
        <v>1156</v>
      </c>
      <c r="D792" s="522" t="s">
        <v>1157</v>
      </c>
      <c r="E792" s="622">
        <v>6</v>
      </c>
      <c r="F792" s="490" t="s">
        <v>1158</v>
      </c>
      <c r="G792" s="489" t="s">
        <v>19</v>
      </c>
      <c r="H792" s="219">
        <f>1200-700+700</f>
        <v>1200</v>
      </c>
      <c r="I792" s="235" t="s">
        <v>58</v>
      </c>
      <c r="J792" s="79" t="s">
        <v>88</v>
      </c>
      <c r="K792" s="164" t="s">
        <v>1159</v>
      </c>
      <c r="L792" s="102">
        <v>100</v>
      </c>
      <c r="M792" s="114" t="s">
        <v>641</v>
      </c>
    </row>
    <row r="793" spans="1:13" ht="22.5" x14ac:dyDescent="0.2">
      <c r="A793" s="496">
        <v>6</v>
      </c>
      <c r="B793" s="231" t="s">
        <v>1160</v>
      </c>
      <c r="C793" s="231" t="s">
        <v>1160</v>
      </c>
      <c r="D793" s="504" t="s">
        <v>1161</v>
      </c>
      <c r="E793" s="505"/>
      <c r="F793" s="505"/>
      <c r="G793" s="521"/>
      <c r="H793" s="521"/>
      <c r="I793" s="235" t="s">
        <v>641</v>
      </c>
      <c r="J793" s="79" t="s">
        <v>641</v>
      </c>
      <c r="K793" s="166" t="s">
        <v>641</v>
      </c>
      <c r="L793" s="82" t="s">
        <v>641</v>
      </c>
      <c r="M793" s="83" t="s">
        <v>641</v>
      </c>
    </row>
    <row r="794" spans="1:13" x14ac:dyDescent="0.2">
      <c r="A794" s="496">
        <v>6</v>
      </c>
      <c r="B794" s="613"/>
      <c r="C794" s="613"/>
      <c r="D794" s="614"/>
      <c r="E794" s="623"/>
      <c r="F794" s="623"/>
      <c r="G794" s="618" t="s">
        <v>19</v>
      </c>
      <c r="H794" s="320">
        <f>SUM(H795,H796,H797,H798,H799,H800,H801,H802,H803,H804,H805)</f>
        <v>465</v>
      </c>
      <c r="I794" s="235" t="s">
        <v>641</v>
      </c>
      <c r="J794" s="79" t="s">
        <v>641</v>
      </c>
      <c r="K794" s="165" t="s">
        <v>641</v>
      </c>
      <c r="L794" s="82" t="s">
        <v>641</v>
      </c>
      <c r="M794" s="83" t="s">
        <v>641</v>
      </c>
    </row>
    <row r="795" spans="1:13" x14ac:dyDescent="0.2">
      <c r="A795" s="496">
        <v>6</v>
      </c>
      <c r="B795" s="514"/>
      <c r="C795" s="514" t="s">
        <v>1162</v>
      </c>
      <c r="D795" s="507" t="s">
        <v>1163</v>
      </c>
      <c r="E795" s="624">
        <v>19</v>
      </c>
      <c r="F795" s="625" t="s">
        <v>1164</v>
      </c>
      <c r="G795" s="569" t="s">
        <v>19</v>
      </c>
      <c r="H795" s="219">
        <v>7.1999999999999993</v>
      </c>
      <c r="I795" s="235" t="s">
        <v>49</v>
      </c>
      <c r="J795" s="79" t="s">
        <v>1165</v>
      </c>
      <c r="K795" s="166" t="s">
        <v>1166</v>
      </c>
      <c r="L795" s="80">
        <v>263</v>
      </c>
      <c r="M795" s="81" t="s">
        <v>217</v>
      </c>
    </row>
    <row r="796" spans="1:13" ht="22.5" x14ac:dyDescent="0.2">
      <c r="A796" s="496">
        <v>6</v>
      </c>
      <c r="B796" s="514"/>
      <c r="C796" s="514" t="s">
        <v>1167</v>
      </c>
      <c r="D796" s="507" t="s">
        <v>1168</v>
      </c>
      <c r="E796" s="624">
        <v>20</v>
      </c>
      <c r="F796" s="625" t="s">
        <v>1169</v>
      </c>
      <c r="G796" s="569" t="s">
        <v>19</v>
      </c>
      <c r="H796" s="219">
        <v>18.2</v>
      </c>
      <c r="I796" s="235" t="s">
        <v>49</v>
      </c>
      <c r="J796" s="79" t="s">
        <v>868</v>
      </c>
      <c r="K796" s="166" t="s">
        <v>1166</v>
      </c>
      <c r="L796" s="80">
        <v>499</v>
      </c>
      <c r="M796" s="81" t="s">
        <v>545</v>
      </c>
    </row>
    <row r="797" spans="1:13" x14ac:dyDescent="0.2">
      <c r="A797" s="496">
        <v>6</v>
      </c>
      <c r="B797" s="514"/>
      <c r="C797" s="514" t="s">
        <v>1170</v>
      </c>
      <c r="D797" s="507" t="s">
        <v>1171</v>
      </c>
      <c r="E797" s="624">
        <v>21</v>
      </c>
      <c r="F797" s="625" t="s">
        <v>1172</v>
      </c>
      <c r="G797" s="569" t="s">
        <v>19</v>
      </c>
      <c r="H797" s="219">
        <v>25.9</v>
      </c>
      <c r="I797" s="235" t="s">
        <v>49</v>
      </c>
      <c r="J797" s="79" t="s">
        <v>1173</v>
      </c>
      <c r="K797" s="166" t="s">
        <v>1166</v>
      </c>
      <c r="L797" s="80">
        <v>465</v>
      </c>
      <c r="M797" s="81" t="s">
        <v>187</v>
      </c>
    </row>
    <row r="798" spans="1:13" x14ac:dyDescent="0.2">
      <c r="A798" s="496">
        <v>6</v>
      </c>
      <c r="B798" s="514"/>
      <c r="C798" s="514" t="s">
        <v>1174</v>
      </c>
      <c r="D798" s="507" t="s">
        <v>1175</v>
      </c>
      <c r="E798" s="624">
        <v>22</v>
      </c>
      <c r="F798" s="625" t="s">
        <v>1176</v>
      </c>
      <c r="G798" s="569" t="s">
        <v>19</v>
      </c>
      <c r="H798" s="219">
        <v>17.600000000000001</v>
      </c>
      <c r="I798" s="235" t="s">
        <v>49</v>
      </c>
      <c r="J798" s="79" t="s">
        <v>1177</v>
      </c>
      <c r="K798" s="166" t="s">
        <v>1166</v>
      </c>
      <c r="L798" s="80">
        <v>232</v>
      </c>
      <c r="M798" s="81" t="s">
        <v>246</v>
      </c>
    </row>
    <row r="799" spans="1:13" ht="22.5" x14ac:dyDescent="0.2">
      <c r="A799" s="496">
        <v>6</v>
      </c>
      <c r="B799" s="514"/>
      <c r="C799" s="514" t="s">
        <v>1178</v>
      </c>
      <c r="D799" s="507" t="s">
        <v>1179</v>
      </c>
      <c r="E799" s="624">
        <v>23</v>
      </c>
      <c r="F799" s="625" t="s">
        <v>1180</v>
      </c>
      <c r="G799" s="569" t="s">
        <v>19</v>
      </c>
      <c r="H799" s="219">
        <v>164</v>
      </c>
      <c r="I799" s="235" t="s">
        <v>49</v>
      </c>
      <c r="J799" s="858" t="s">
        <v>1113</v>
      </c>
      <c r="K799" s="166" t="s">
        <v>1166</v>
      </c>
      <c r="L799" s="928">
        <v>1213</v>
      </c>
      <c r="M799" s="81" t="s">
        <v>67</v>
      </c>
    </row>
    <row r="800" spans="1:13" x14ac:dyDescent="0.2">
      <c r="A800" s="496">
        <v>6</v>
      </c>
      <c r="B800" s="514"/>
      <c r="C800" s="514" t="s">
        <v>1181</v>
      </c>
      <c r="D800" s="507" t="s">
        <v>1182</v>
      </c>
      <c r="E800" s="624">
        <v>24</v>
      </c>
      <c r="F800" s="625" t="s">
        <v>1183</v>
      </c>
      <c r="G800" s="569" t="s">
        <v>19</v>
      </c>
      <c r="H800" s="219">
        <v>14.6</v>
      </c>
      <c r="I800" s="235" t="s">
        <v>49</v>
      </c>
      <c r="J800" s="79" t="s">
        <v>1184</v>
      </c>
      <c r="K800" s="166" t="s">
        <v>1166</v>
      </c>
      <c r="L800" s="80">
        <v>190</v>
      </c>
      <c r="M800" s="81" t="s">
        <v>361</v>
      </c>
    </row>
    <row r="801" spans="1:13" x14ac:dyDescent="0.2">
      <c r="A801" s="496">
        <v>6</v>
      </c>
      <c r="B801" s="514"/>
      <c r="C801" s="514" t="s">
        <v>1185</v>
      </c>
      <c r="D801" s="507" t="s">
        <v>1186</v>
      </c>
      <c r="E801" s="624">
        <v>25</v>
      </c>
      <c r="F801" s="625" t="s">
        <v>1187</v>
      </c>
      <c r="G801" s="569" t="s">
        <v>19</v>
      </c>
      <c r="H801" s="219">
        <v>38.4</v>
      </c>
      <c r="I801" s="235" t="s">
        <v>49</v>
      </c>
      <c r="J801" s="79" t="s">
        <v>1188</v>
      </c>
      <c r="K801" s="166" t="s">
        <v>1166</v>
      </c>
      <c r="L801" s="80">
        <v>379</v>
      </c>
      <c r="M801" s="81" t="s">
        <v>223</v>
      </c>
    </row>
    <row r="802" spans="1:13" ht="22.5" x14ac:dyDescent="0.2">
      <c r="A802" s="496">
        <v>6</v>
      </c>
      <c r="B802" s="514"/>
      <c r="C802" s="514" t="s">
        <v>1189</v>
      </c>
      <c r="D802" s="507" t="s">
        <v>1190</v>
      </c>
      <c r="E802" s="624">
        <v>26</v>
      </c>
      <c r="F802" s="625" t="s">
        <v>1191</v>
      </c>
      <c r="G802" s="569" t="s">
        <v>19</v>
      </c>
      <c r="H802" s="219">
        <v>62.8</v>
      </c>
      <c r="I802" s="235" t="s">
        <v>49</v>
      </c>
      <c r="J802" s="79" t="s">
        <v>1192</v>
      </c>
      <c r="K802" s="166" t="s">
        <v>1166</v>
      </c>
      <c r="L802" s="80">
        <v>768</v>
      </c>
      <c r="M802" s="81" t="s">
        <v>190</v>
      </c>
    </row>
    <row r="803" spans="1:13" x14ac:dyDescent="0.2">
      <c r="A803" s="496">
        <v>6</v>
      </c>
      <c r="B803" s="514"/>
      <c r="C803" s="514" t="s">
        <v>1193</v>
      </c>
      <c r="D803" s="507" t="s">
        <v>1194</v>
      </c>
      <c r="E803" s="624">
        <v>27</v>
      </c>
      <c r="F803" s="625" t="s">
        <v>1195</v>
      </c>
      <c r="G803" s="569" t="s">
        <v>19</v>
      </c>
      <c r="H803" s="219">
        <v>49.3</v>
      </c>
      <c r="I803" s="235" t="s">
        <v>49</v>
      </c>
      <c r="J803" s="79" t="s">
        <v>1196</v>
      </c>
      <c r="K803" s="166" t="s">
        <v>1166</v>
      </c>
      <c r="L803" s="80">
        <v>758</v>
      </c>
      <c r="M803" s="81" t="s">
        <v>183</v>
      </c>
    </row>
    <row r="804" spans="1:13" x14ac:dyDescent="0.2">
      <c r="A804" s="496">
        <v>6</v>
      </c>
      <c r="B804" s="514"/>
      <c r="C804" s="514" t="s">
        <v>1197</v>
      </c>
      <c r="D804" s="507" t="s">
        <v>1198</v>
      </c>
      <c r="E804" s="624">
        <v>28</v>
      </c>
      <c r="F804" s="625" t="s">
        <v>1199</v>
      </c>
      <c r="G804" s="569" t="s">
        <v>19</v>
      </c>
      <c r="H804" s="219">
        <v>31.5</v>
      </c>
      <c r="I804" s="235" t="s">
        <v>49</v>
      </c>
      <c r="J804" s="79" t="s">
        <v>1200</v>
      </c>
      <c r="K804" s="166" t="s">
        <v>1166</v>
      </c>
      <c r="L804" s="80">
        <v>366</v>
      </c>
      <c r="M804" s="81" t="s">
        <v>198</v>
      </c>
    </row>
    <row r="805" spans="1:13" x14ac:dyDescent="0.2">
      <c r="A805" s="496">
        <v>6</v>
      </c>
      <c r="B805" s="514"/>
      <c r="C805" s="514" t="s">
        <v>1201</v>
      </c>
      <c r="D805" s="507" t="s">
        <v>1202</v>
      </c>
      <c r="E805" s="624">
        <v>29</v>
      </c>
      <c r="F805" s="625" t="s">
        <v>1203</v>
      </c>
      <c r="G805" s="569" t="s">
        <v>19</v>
      </c>
      <c r="H805" s="219">
        <v>35.5</v>
      </c>
      <c r="I805" s="235" t="s">
        <v>49</v>
      </c>
      <c r="J805" s="79" t="s">
        <v>1204</v>
      </c>
      <c r="K805" s="166" t="s">
        <v>1166</v>
      </c>
      <c r="L805" s="80">
        <v>852</v>
      </c>
      <c r="M805" s="81" t="s">
        <v>222</v>
      </c>
    </row>
    <row r="806" spans="1:13" ht="22.5" x14ac:dyDescent="0.2">
      <c r="A806" s="496">
        <v>6</v>
      </c>
      <c r="B806" s="497"/>
      <c r="C806" s="497"/>
      <c r="D806" s="498" t="s">
        <v>1205</v>
      </c>
      <c r="E806" s="517"/>
      <c r="F806" s="518"/>
      <c r="G806" s="519"/>
      <c r="H806" s="520"/>
      <c r="I806" s="503" t="s">
        <v>641</v>
      </c>
      <c r="J806" s="86" t="s">
        <v>641</v>
      </c>
      <c r="K806" s="167" t="s">
        <v>641</v>
      </c>
      <c r="L806" s="87" t="s">
        <v>641</v>
      </c>
      <c r="M806" s="88" t="s">
        <v>641</v>
      </c>
    </row>
    <row r="807" spans="1:13" x14ac:dyDescent="0.2">
      <c r="A807" s="496">
        <v>6</v>
      </c>
      <c r="B807" s="231" t="s">
        <v>1206</v>
      </c>
      <c r="C807" s="231" t="s">
        <v>1206</v>
      </c>
      <c r="D807" s="504" t="s">
        <v>1207</v>
      </c>
      <c r="E807" s="505"/>
      <c r="F807" s="505"/>
      <c r="G807" s="521"/>
      <c r="H807" s="521"/>
      <c r="I807" s="235" t="s">
        <v>641</v>
      </c>
      <c r="J807" s="79" t="s">
        <v>641</v>
      </c>
      <c r="K807" s="166" t="s">
        <v>641</v>
      </c>
      <c r="L807" s="82" t="s">
        <v>641</v>
      </c>
      <c r="M807" s="83" t="s">
        <v>641</v>
      </c>
    </row>
    <row r="808" spans="1:13" x14ac:dyDescent="0.2">
      <c r="A808" s="496">
        <v>6</v>
      </c>
      <c r="B808" s="613"/>
      <c r="C808" s="613"/>
      <c r="D808" s="614"/>
      <c r="E808" s="532"/>
      <c r="F808" s="565"/>
      <c r="G808" s="618" t="s">
        <v>19</v>
      </c>
      <c r="H808" s="320">
        <f>H809</f>
        <v>120</v>
      </c>
      <c r="I808" s="235" t="s">
        <v>641</v>
      </c>
      <c r="J808" s="79" t="s">
        <v>641</v>
      </c>
      <c r="K808" s="166" t="s">
        <v>641</v>
      </c>
      <c r="L808" s="82" t="s">
        <v>641</v>
      </c>
      <c r="M808" s="83" t="s">
        <v>641</v>
      </c>
    </row>
    <row r="809" spans="1:13" ht="22.5" x14ac:dyDescent="0.2">
      <c r="A809" s="496">
        <v>6</v>
      </c>
      <c r="B809" s="514"/>
      <c r="C809" s="514" t="s">
        <v>1208</v>
      </c>
      <c r="D809" s="507" t="s">
        <v>1209</v>
      </c>
      <c r="E809" s="626">
        <v>18</v>
      </c>
      <c r="F809" s="569" t="s">
        <v>1210</v>
      </c>
      <c r="G809" s="627" t="s">
        <v>19</v>
      </c>
      <c r="H809" s="207">
        <v>120</v>
      </c>
      <c r="I809" s="235" t="s">
        <v>64</v>
      </c>
      <c r="J809" s="79" t="s">
        <v>2135</v>
      </c>
      <c r="K809" s="164" t="s">
        <v>1211</v>
      </c>
      <c r="L809" s="80">
        <v>25</v>
      </c>
      <c r="M809" s="81" t="s">
        <v>641</v>
      </c>
    </row>
    <row r="810" spans="1:13" x14ac:dyDescent="0.2">
      <c r="A810" s="496">
        <v>6</v>
      </c>
      <c r="B810" s="231" t="s">
        <v>1212</v>
      </c>
      <c r="C810" s="231" t="s">
        <v>1212</v>
      </c>
      <c r="D810" s="504" t="s">
        <v>1213</v>
      </c>
      <c r="E810" s="505"/>
      <c r="F810" s="505"/>
      <c r="G810" s="521"/>
      <c r="H810" s="521"/>
      <c r="I810" s="235" t="s">
        <v>641</v>
      </c>
      <c r="J810" s="79" t="s">
        <v>641</v>
      </c>
      <c r="K810" s="166" t="s">
        <v>641</v>
      </c>
      <c r="L810" s="82" t="s">
        <v>641</v>
      </c>
      <c r="M810" s="83" t="s">
        <v>641</v>
      </c>
    </row>
    <row r="811" spans="1:13" x14ac:dyDescent="0.2">
      <c r="A811" s="496">
        <v>6</v>
      </c>
      <c r="B811" s="628"/>
      <c r="C811" s="628"/>
      <c r="D811" s="621"/>
      <c r="E811" s="626"/>
      <c r="F811" s="627"/>
      <c r="G811" s="618" t="s">
        <v>75</v>
      </c>
      <c r="H811" s="320">
        <f>H814</f>
        <v>1493.4</v>
      </c>
      <c r="I811" s="235" t="s">
        <v>641</v>
      </c>
      <c r="J811" s="79" t="s">
        <v>641</v>
      </c>
      <c r="K811" s="166" t="s">
        <v>641</v>
      </c>
      <c r="L811" s="82" t="s">
        <v>641</v>
      </c>
      <c r="M811" s="83" t="s">
        <v>641</v>
      </c>
    </row>
    <row r="812" spans="1:13" x14ac:dyDescent="0.2">
      <c r="A812" s="496">
        <v>6</v>
      </c>
      <c r="B812" s="628"/>
      <c r="C812" s="628"/>
      <c r="D812" s="621"/>
      <c r="E812" s="626"/>
      <c r="F812" s="627"/>
      <c r="G812" s="618" t="s">
        <v>19</v>
      </c>
      <c r="H812" s="320">
        <f>H813+H815+H816</f>
        <v>732.09999999999991</v>
      </c>
      <c r="I812" s="235" t="s">
        <v>641</v>
      </c>
      <c r="J812" s="79" t="s">
        <v>641</v>
      </c>
      <c r="K812" s="166" t="s">
        <v>641</v>
      </c>
      <c r="L812" s="82" t="s">
        <v>641</v>
      </c>
      <c r="M812" s="83" t="s">
        <v>641</v>
      </c>
    </row>
    <row r="813" spans="1:13" ht="25.5" customHeight="1" x14ac:dyDescent="0.2">
      <c r="A813" s="496">
        <v>6</v>
      </c>
      <c r="B813" s="514"/>
      <c r="C813" s="514" t="s">
        <v>1214</v>
      </c>
      <c r="D813" s="629" t="s">
        <v>1215</v>
      </c>
      <c r="E813" s="624">
        <v>9</v>
      </c>
      <c r="F813" s="625" t="s">
        <v>1216</v>
      </c>
      <c r="G813" s="627" t="s">
        <v>19</v>
      </c>
      <c r="H813" s="512">
        <f>2500-500-1493.4</f>
        <v>506.59999999999991</v>
      </c>
      <c r="I813" s="235" t="s">
        <v>49</v>
      </c>
      <c r="J813" s="79" t="s">
        <v>73</v>
      </c>
      <c r="K813" s="166" t="s">
        <v>1217</v>
      </c>
      <c r="L813" s="80">
        <v>100</v>
      </c>
      <c r="M813" s="81" t="s">
        <v>641</v>
      </c>
    </row>
    <row r="814" spans="1:13" x14ac:dyDescent="0.2">
      <c r="A814" s="496">
        <v>6</v>
      </c>
      <c r="B814" s="514"/>
      <c r="C814" s="514"/>
      <c r="D814" s="629"/>
      <c r="E814" s="624">
        <v>9</v>
      </c>
      <c r="F814" s="625" t="s">
        <v>1216</v>
      </c>
      <c r="G814" s="569" t="s">
        <v>75</v>
      </c>
      <c r="H814" s="512">
        <v>1493.4</v>
      </c>
      <c r="I814" s="235" t="s">
        <v>49</v>
      </c>
      <c r="J814" s="79" t="s">
        <v>641</v>
      </c>
      <c r="K814" s="166" t="s">
        <v>641</v>
      </c>
      <c r="L814" s="80" t="s">
        <v>641</v>
      </c>
      <c r="M814" s="81" t="s">
        <v>641</v>
      </c>
    </row>
    <row r="815" spans="1:13" ht="14.25" customHeight="1" x14ac:dyDescent="0.2">
      <c r="A815" s="496">
        <v>6</v>
      </c>
      <c r="B815" s="514"/>
      <c r="C815" s="514" t="s">
        <v>1218</v>
      </c>
      <c r="D815" s="629" t="s">
        <v>1219</v>
      </c>
      <c r="E815" s="624">
        <v>9</v>
      </c>
      <c r="F815" s="625" t="s">
        <v>1220</v>
      </c>
      <c r="G815" s="627" t="s">
        <v>19</v>
      </c>
      <c r="H815" s="512">
        <f>200+21.3</f>
        <v>221.3</v>
      </c>
      <c r="I815" s="235" t="s">
        <v>64</v>
      </c>
      <c r="J815" s="79" t="s">
        <v>2028</v>
      </c>
      <c r="K815" s="166" t="s">
        <v>1221</v>
      </c>
      <c r="L815" s="98">
        <v>5</v>
      </c>
      <c r="M815" s="115" t="s">
        <v>641</v>
      </c>
    </row>
    <row r="816" spans="1:13" ht="22.5" x14ac:dyDescent="0.2">
      <c r="A816" s="496">
        <v>6</v>
      </c>
      <c r="B816" s="514"/>
      <c r="C816" s="514" t="s">
        <v>1222</v>
      </c>
      <c r="D816" s="629" t="s">
        <v>1223</v>
      </c>
      <c r="E816" s="624">
        <v>9</v>
      </c>
      <c r="F816" s="623" t="s">
        <v>1224</v>
      </c>
      <c r="G816" s="627" t="s">
        <v>19</v>
      </c>
      <c r="H816" s="219">
        <f>4.2</f>
        <v>4.2</v>
      </c>
      <c r="I816" s="235" t="s">
        <v>641</v>
      </c>
      <c r="J816" s="79" t="s">
        <v>641</v>
      </c>
      <c r="K816" s="166" t="s">
        <v>641</v>
      </c>
      <c r="L816" s="80" t="s">
        <v>641</v>
      </c>
      <c r="M816" s="81" t="s">
        <v>641</v>
      </c>
    </row>
    <row r="817" spans="1:13" x14ac:dyDescent="0.2">
      <c r="A817" s="496">
        <v>6</v>
      </c>
      <c r="B817" s="231" t="s">
        <v>1226</v>
      </c>
      <c r="C817" s="231" t="s">
        <v>1226</v>
      </c>
      <c r="D817" s="504" t="s">
        <v>1227</v>
      </c>
      <c r="E817" s="505"/>
      <c r="F817" s="505"/>
      <c r="G817" s="521"/>
      <c r="H817" s="521"/>
      <c r="I817" s="235" t="s">
        <v>641</v>
      </c>
      <c r="J817" s="79" t="s">
        <v>641</v>
      </c>
      <c r="K817" s="166" t="s">
        <v>641</v>
      </c>
      <c r="L817" s="82" t="s">
        <v>641</v>
      </c>
      <c r="M817" s="84" t="s">
        <v>641</v>
      </c>
    </row>
    <row r="818" spans="1:13" x14ac:dyDescent="0.2">
      <c r="A818" s="496">
        <v>6</v>
      </c>
      <c r="B818" s="631"/>
      <c r="C818" s="631"/>
      <c r="D818" s="632"/>
      <c r="E818" s="633"/>
      <c r="F818" s="634"/>
      <c r="G818" s="635" t="s">
        <v>19</v>
      </c>
      <c r="H818" s="636">
        <f>SUM(H822,H825,H828,H830,H823,H834)</f>
        <v>633</v>
      </c>
      <c r="I818" s="235" t="s">
        <v>641</v>
      </c>
      <c r="J818" s="79" t="s">
        <v>641</v>
      </c>
      <c r="K818" s="166" t="s">
        <v>641</v>
      </c>
      <c r="L818" s="82" t="s">
        <v>641</v>
      </c>
      <c r="M818" s="116" t="s">
        <v>641</v>
      </c>
    </row>
    <row r="819" spans="1:13" x14ac:dyDescent="0.2">
      <c r="A819" s="496">
        <v>6</v>
      </c>
      <c r="B819" s="631"/>
      <c r="C819" s="631"/>
      <c r="D819" s="632"/>
      <c r="E819" s="633"/>
      <c r="F819" s="634"/>
      <c r="G819" s="637" t="s">
        <v>56</v>
      </c>
      <c r="H819" s="636">
        <f>SUM(H826)</f>
        <v>959.8</v>
      </c>
      <c r="I819" s="235" t="s">
        <v>641</v>
      </c>
      <c r="J819" s="79" t="s">
        <v>641</v>
      </c>
      <c r="K819" s="166" t="s">
        <v>641</v>
      </c>
      <c r="L819" s="82" t="s">
        <v>641</v>
      </c>
      <c r="M819" s="116" t="s">
        <v>641</v>
      </c>
    </row>
    <row r="820" spans="1:13" x14ac:dyDescent="0.2">
      <c r="A820" s="496">
        <v>6</v>
      </c>
      <c r="B820" s="631"/>
      <c r="C820" s="631"/>
      <c r="D820" s="632"/>
      <c r="E820" s="633"/>
      <c r="F820" s="634"/>
      <c r="G820" s="637" t="s">
        <v>249</v>
      </c>
      <c r="H820" s="636">
        <f>SUM(H832)</f>
        <v>0</v>
      </c>
      <c r="I820" s="235" t="s">
        <v>641</v>
      </c>
      <c r="J820" s="79" t="s">
        <v>641</v>
      </c>
      <c r="K820" s="166" t="s">
        <v>641</v>
      </c>
      <c r="L820" s="82" t="s">
        <v>641</v>
      </c>
      <c r="M820" s="116" t="s">
        <v>641</v>
      </c>
    </row>
    <row r="821" spans="1:13" x14ac:dyDescent="0.2">
      <c r="A821" s="496">
        <v>6</v>
      </c>
      <c r="B821" s="631"/>
      <c r="C821" s="631"/>
      <c r="D821" s="632"/>
      <c r="E821" s="633"/>
      <c r="F821" s="634"/>
      <c r="G821" s="638" t="s">
        <v>247</v>
      </c>
      <c r="H821" s="521">
        <f>SUM(H824,H827,H829,H831,H833,H835)</f>
        <v>1592.8</v>
      </c>
      <c r="I821" s="235" t="s">
        <v>641</v>
      </c>
      <c r="J821" s="79" t="s">
        <v>641</v>
      </c>
      <c r="K821" s="166" t="s">
        <v>641</v>
      </c>
      <c r="L821" s="82" t="s">
        <v>641</v>
      </c>
      <c r="M821" s="116" t="s">
        <v>641</v>
      </c>
    </row>
    <row r="822" spans="1:13" ht="44.45" customHeight="1" x14ac:dyDescent="0.2">
      <c r="A822" s="496">
        <v>6</v>
      </c>
      <c r="B822" s="514"/>
      <c r="C822" s="514" t="s">
        <v>1228</v>
      </c>
      <c r="D822" s="639" t="s">
        <v>1229</v>
      </c>
      <c r="E822" s="496">
        <v>9</v>
      </c>
      <c r="F822" s="526" t="s">
        <v>1230</v>
      </c>
      <c r="G822" s="524" t="s">
        <v>19</v>
      </c>
      <c r="H822" s="563">
        <f>100-50+38-3.1</f>
        <v>84.9</v>
      </c>
      <c r="I822" s="235" t="s">
        <v>196</v>
      </c>
      <c r="J822" s="76" t="s">
        <v>1231</v>
      </c>
      <c r="K822" s="164" t="s">
        <v>1232</v>
      </c>
      <c r="L822" s="80">
        <v>100</v>
      </c>
      <c r="M822" s="117" t="s">
        <v>1141</v>
      </c>
    </row>
    <row r="823" spans="1:13" ht="22.5" x14ac:dyDescent="0.2">
      <c r="A823" s="496">
        <v>6</v>
      </c>
      <c r="B823" s="514"/>
      <c r="C823" s="514"/>
      <c r="D823" s="639"/>
      <c r="E823" s="496">
        <v>23</v>
      </c>
      <c r="F823" s="526" t="s">
        <v>1233</v>
      </c>
      <c r="G823" s="281" t="s">
        <v>19</v>
      </c>
      <c r="H823" s="563">
        <v>3.1</v>
      </c>
      <c r="I823" s="235" t="s">
        <v>196</v>
      </c>
      <c r="J823" s="76" t="s">
        <v>485</v>
      </c>
      <c r="K823" s="164" t="s">
        <v>1234</v>
      </c>
      <c r="L823" s="80">
        <v>1</v>
      </c>
      <c r="M823" s="81" t="s">
        <v>1141</v>
      </c>
    </row>
    <row r="824" spans="1:13" x14ac:dyDescent="0.2">
      <c r="A824" s="496">
        <v>6</v>
      </c>
      <c r="B824" s="514"/>
      <c r="C824" s="514"/>
      <c r="D824" s="507"/>
      <c r="E824" s="511"/>
      <c r="F824" s="565"/>
      <c r="G824" s="513" t="s">
        <v>247</v>
      </c>
      <c r="H824" s="220">
        <f>SUM(H822,H823)</f>
        <v>88</v>
      </c>
      <c r="I824" s="235" t="s">
        <v>641</v>
      </c>
      <c r="J824" s="76" t="s">
        <v>641</v>
      </c>
      <c r="K824" s="164" t="s">
        <v>641</v>
      </c>
      <c r="L824" s="82" t="s">
        <v>641</v>
      </c>
      <c r="M824" s="84" t="s">
        <v>641</v>
      </c>
    </row>
    <row r="825" spans="1:13" ht="48.75" customHeight="1" x14ac:dyDescent="0.2">
      <c r="A825" s="496">
        <v>6</v>
      </c>
      <c r="B825" s="514"/>
      <c r="C825" s="506" t="s">
        <v>1235</v>
      </c>
      <c r="D825" s="1043" t="s">
        <v>1236</v>
      </c>
      <c r="E825" s="496" t="s">
        <v>1237</v>
      </c>
      <c r="F825" s="489" t="s">
        <v>1238</v>
      </c>
      <c r="G825" s="490" t="s">
        <v>19</v>
      </c>
      <c r="H825" s="512">
        <f>310+70</f>
        <v>380</v>
      </c>
      <c r="I825" s="235" t="s">
        <v>196</v>
      </c>
      <c r="J825" s="76" t="s">
        <v>2136</v>
      </c>
      <c r="K825" s="164" t="s">
        <v>1239</v>
      </c>
      <c r="L825" s="82">
        <v>1.4550000000000001</v>
      </c>
      <c r="M825" s="117" t="s">
        <v>1141</v>
      </c>
    </row>
    <row r="826" spans="1:13" ht="33.75" x14ac:dyDescent="0.2">
      <c r="A826" s="496">
        <v>6</v>
      </c>
      <c r="B826" s="514"/>
      <c r="C826" s="506" t="s">
        <v>1235</v>
      </c>
      <c r="D826" s="1044"/>
      <c r="E826" s="496" t="s">
        <v>1237</v>
      </c>
      <c r="F826" s="489" t="s">
        <v>1238</v>
      </c>
      <c r="G826" s="489" t="s">
        <v>56</v>
      </c>
      <c r="H826" s="512">
        <v>959.8</v>
      </c>
      <c r="I826" s="235" t="s">
        <v>196</v>
      </c>
      <c r="J826" s="76" t="s">
        <v>2136</v>
      </c>
      <c r="K826" s="164" t="s">
        <v>1240</v>
      </c>
      <c r="L826" s="82">
        <v>0.6</v>
      </c>
      <c r="M826" s="81" t="s">
        <v>1141</v>
      </c>
    </row>
    <row r="827" spans="1:13" x14ac:dyDescent="0.2">
      <c r="A827" s="496">
        <v>6</v>
      </c>
      <c r="B827" s="514"/>
      <c r="C827" s="506"/>
      <c r="D827" s="507"/>
      <c r="E827" s="511"/>
      <c r="F827" s="565"/>
      <c r="G827" s="513" t="s">
        <v>247</v>
      </c>
      <c r="H827" s="220">
        <f>SUM(H825:H826)</f>
        <v>1339.8</v>
      </c>
      <c r="I827" s="235" t="s">
        <v>641</v>
      </c>
      <c r="J827" s="76"/>
      <c r="K827" s="164"/>
      <c r="L827" s="82"/>
      <c r="M827" s="116" t="s">
        <v>641</v>
      </c>
    </row>
    <row r="828" spans="1:13" ht="33.75" x14ac:dyDescent="0.2">
      <c r="A828" s="496">
        <v>6</v>
      </c>
      <c r="B828" s="506"/>
      <c r="C828" s="506" t="s">
        <v>1241</v>
      </c>
      <c r="D828" s="507" t="s">
        <v>1242</v>
      </c>
      <c r="E828" s="496">
        <v>9</v>
      </c>
      <c r="F828" s="489" t="s">
        <v>1243</v>
      </c>
      <c r="G828" s="489" t="s">
        <v>19</v>
      </c>
      <c r="H828" s="512">
        <v>60</v>
      </c>
      <c r="I828" s="235" t="s">
        <v>64</v>
      </c>
      <c r="J828" s="76" t="s">
        <v>1873</v>
      </c>
      <c r="K828" s="164" t="s">
        <v>1244</v>
      </c>
      <c r="L828" s="82">
        <v>1</v>
      </c>
      <c r="M828" s="116" t="s">
        <v>641</v>
      </c>
    </row>
    <row r="829" spans="1:13" x14ac:dyDescent="0.2">
      <c r="A829" s="496">
        <v>6</v>
      </c>
      <c r="B829" s="506"/>
      <c r="C829" s="506"/>
      <c r="D829" s="507"/>
      <c r="E829" s="511"/>
      <c r="F829" s="489"/>
      <c r="G829" s="513" t="s">
        <v>247</v>
      </c>
      <c r="H829" s="220">
        <f>SUM(H828)</f>
        <v>60</v>
      </c>
      <c r="I829" s="235" t="s">
        <v>641</v>
      </c>
      <c r="J829" s="76" t="s">
        <v>641</v>
      </c>
      <c r="K829" s="164" t="s">
        <v>641</v>
      </c>
      <c r="L829" s="82" t="s">
        <v>641</v>
      </c>
      <c r="M829" s="116" t="s">
        <v>641</v>
      </c>
    </row>
    <row r="830" spans="1:13" ht="81.75" customHeight="1" x14ac:dyDescent="0.2">
      <c r="A830" s="496">
        <v>6</v>
      </c>
      <c r="B830" s="506"/>
      <c r="C830" s="506" t="s">
        <v>1245</v>
      </c>
      <c r="D830" s="507" t="s">
        <v>1246</v>
      </c>
      <c r="E830" s="496">
        <v>9</v>
      </c>
      <c r="F830" s="489" t="s">
        <v>1247</v>
      </c>
      <c r="G830" s="489" t="s">
        <v>19</v>
      </c>
      <c r="H830" s="527">
        <f>200-100</f>
        <v>100</v>
      </c>
      <c r="I830" s="235" t="s">
        <v>64</v>
      </c>
      <c r="J830" s="76" t="s">
        <v>2131</v>
      </c>
      <c r="K830" s="164" t="s">
        <v>1248</v>
      </c>
      <c r="L830" s="82">
        <v>1</v>
      </c>
      <c r="M830" s="116" t="s">
        <v>641</v>
      </c>
    </row>
    <row r="831" spans="1:13" x14ac:dyDescent="0.2">
      <c r="A831" s="496">
        <v>6</v>
      </c>
      <c r="B831" s="506"/>
      <c r="C831" s="506"/>
      <c r="D831" s="507"/>
      <c r="E831" s="511"/>
      <c r="F831" s="565"/>
      <c r="G831" s="513" t="s">
        <v>247</v>
      </c>
      <c r="H831" s="220">
        <f t="shared" ref="H831:H833" si="11">SUM(H830)</f>
        <v>100</v>
      </c>
      <c r="I831" s="235" t="s">
        <v>641</v>
      </c>
      <c r="J831" s="76" t="s">
        <v>641</v>
      </c>
      <c r="K831" s="164" t="s">
        <v>641</v>
      </c>
      <c r="L831" s="82" t="s">
        <v>641</v>
      </c>
      <c r="M831" s="116" t="s">
        <v>641</v>
      </c>
    </row>
    <row r="832" spans="1:13" ht="38.25" customHeight="1" x14ac:dyDescent="0.2">
      <c r="A832" s="496">
        <v>6</v>
      </c>
      <c r="B832" s="506"/>
      <c r="C832" s="506" t="s">
        <v>1249</v>
      </c>
      <c r="D832" s="507" t="s">
        <v>1250</v>
      </c>
      <c r="E832" s="511">
        <v>9</v>
      </c>
      <c r="F832" s="565" t="s">
        <v>1251</v>
      </c>
      <c r="G832" s="490" t="s">
        <v>249</v>
      </c>
      <c r="H832" s="512"/>
      <c r="I832" s="235" t="s">
        <v>58</v>
      </c>
      <c r="J832" s="79"/>
      <c r="K832" s="166"/>
      <c r="L832" s="82"/>
      <c r="M832" s="116" t="s">
        <v>223</v>
      </c>
    </row>
    <row r="833" spans="1:13" x14ac:dyDescent="0.2">
      <c r="A833" s="496">
        <v>6</v>
      </c>
      <c r="B833" s="506"/>
      <c r="C833" s="506"/>
      <c r="D833" s="507"/>
      <c r="E833" s="511"/>
      <c r="F833" s="565"/>
      <c r="G833" s="513" t="s">
        <v>247</v>
      </c>
      <c r="H833" s="279">
        <f t="shared" si="11"/>
        <v>0</v>
      </c>
      <c r="I833" s="235" t="s">
        <v>641</v>
      </c>
      <c r="J833" s="79" t="s">
        <v>641</v>
      </c>
      <c r="K833" s="166" t="s">
        <v>641</v>
      </c>
      <c r="L833" s="82" t="s">
        <v>641</v>
      </c>
      <c r="M833" s="116" t="s">
        <v>641</v>
      </c>
    </row>
    <row r="834" spans="1:13" ht="38.25" customHeight="1" x14ac:dyDescent="0.2">
      <c r="A834" s="496">
        <v>6</v>
      </c>
      <c r="B834" s="506"/>
      <c r="C834" s="506" t="s">
        <v>1252</v>
      </c>
      <c r="D834" s="640" t="s">
        <v>1253</v>
      </c>
      <c r="E834" s="511">
        <v>9</v>
      </c>
      <c r="F834" s="565" t="s">
        <v>1254</v>
      </c>
      <c r="G834" s="547" t="s">
        <v>19</v>
      </c>
      <c r="H834" s="527">
        <f>50-45</f>
        <v>5</v>
      </c>
      <c r="I834" s="235" t="s">
        <v>641</v>
      </c>
      <c r="J834" s="79" t="s">
        <v>1873</v>
      </c>
      <c r="K834" s="166" t="s">
        <v>1255</v>
      </c>
      <c r="L834" s="82">
        <v>1</v>
      </c>
      <c r="M834" s="116" t="s">
        <v>641</v>
      </c>
    </row>
    <row r="835" spans="1:13" x14ac:dyDescent="0.2">
      <c r="A835" s="496">
        <v>6</v>
      </c>
      <c r="B835" s="506"/>
      <c r="C835" s="506"/>
      <c r="D835" s="507"/>
      <c r="E835" s="511"/>
      <c r="F835" s="565"/>
      <c r="G835" s="641" t="s">
        <v>247</v>
      </c>
      <c r="H835" s="279">
        <f>SUM(H834)</f>
        <v>5</v>
      </c>
      <c r="I835" s="235" t="s">
        <v>641</v>
      </c>
      <c r="J835" s="79" t="s">
        <v>641</v>
      </c>
      <c r="K835" s="166" t="s">
        <v>641</v>
      </c>
      <c r="L835" s="82" t="s">
        <v>641</v>
      </c>
      <c r="M835" s="116" t="s">
        <v>641</v>
      </c>
    </row>
    <row r="836" spans="1:13" ht="33.75" x14ac:dyDescent="0.2">
      <c r="A836" s="496">
        <v>6</v>
      </c>
      <c r="B836" s="497"/>
      <c r="C836" s="497"/>
      <c r="D836" s="642" t="s">
        <v>1256</v>
      </c>
      <c r="E836" s="517"/>
      <c r="F836" s="518"/>
      <c r="G836" s="643"/>
      <c r="H836" s="644"/>
      <c r="I836" s="503" t="s">
        <v>641</v>
      </c>
      <c r="J836" s="86" t="s">
        <v>641</v>
      </c>
      <c r="K836" s="167" t="s">
        <v>641</v>
      </c>
      <c r="L836" s="87" t="s">
        <v>641</v>
      </c>
      <c r="M836" s="118" t="s">
        <v>641</v>
      </c>
    </row>
    <row r="837" spans="1:13" ht="22.5" x14ac:dyDescent="0.2">
      <c r="A837" s="496">
        <v>6</v>
      </c>
      <c r="B837" s="231" t="s">
        <v>1257</v>
      </c>
      <c r="C837" s="231" t="s">
        <v>1257</v>
      </c>
      <c r="D837" s="504" t="s">
        <v>1258</v>
      </c>
      <c r="E837" s="505"/>
      <c r="F837" s="505"/>
      <c r="G837" s="521"/>
      <c r="H837" s="521"/>
      <c r="I837" s="611" t="s">
        <v>641</v>
      </c>
      <c r="J837" s="79" t="s">
        <v>641</v>
      </c>
      <c r="K837" s="166" t="s">
        <v>641</v>
      </c>
      <c r="L837" s="80" t="s">
        <v>641</v>
      </c>
      <c r="M837" s="119" t="s">
        <v>641</v>
      </c>
    </row>
    <row r="838" spans="1:13" x14ac:dyDescent="0.2">
      <c r="A838" s="496">
        <v>6</v>
      </c>
      <c r="B838" s="645"/>
      <c r="C838" s="645"/>
      <c r="D838" s="646"/>
      <c r="E838" s="263"/>
      <c r="F838" s="647"/>
      <c r="G838" s="648" t="s">
        <v>19</v>
      </c>
      <c r="H838" s="638">
        <f>H855+H857+H858+H860+H861+H862+H849+H864+H853+H866+H865</f>
        <v>1614.4</v>
      </c>
      <c r="I838" s="611" t="s">
        <v>641</v>
      </c>
      <c r="J838" s="79" t="s">
        <v>641</v>
      </c>
      <c r="K838" s="165" t="s">
        <v>641</v>
      </c>
      <c r="L838" s="80" t="s">
        <v>641</v>
      </c>
      <c r="M838" s="120" t="s">
        <v>641</v>
      </c>
    </row>
    <row r="839" spans="1:13" x14ac:dyDescent="0.2">
      <c r="A839" s="496">
        <v>6</v>
      </c>
      <c r="B839" s="649"/>
      <c r="C839" s="649"/>
      <c r="D839" s="646"/>
      <c r="E839" s="263"/>
      <c r="F839" s="647"/>
      <c r="G839" s="650" t="s">
        <v>1259</v>
      </c>
      <c r="H839" s="638">
        <f>H844</f>
        <v>0</v>
      </c>
      <c r="I839" s="611" t="s">
        <v>641</v>
      </c>
      <c r="J839" s="79" t="s">
        <v>641</v>
      </c>
      <c r="K839" s="166" t="s">
        <v>641</v>
      </c>
      <c r="L839" s="80" t="s">
        <v>641</v>
      </c>
      <c r="M839" s="120" t="s">
        <v>641</v>
      </c>
    </row>
    <row r="840" spans="1:13" x14ac:dyDescent="0.2">
      <c r="A840" s="496">
        <v>6</v>
      </c>
      <c r="B840" s="649"/>
      <c r="C840" s="649"/>
      <c r="D840" s="646"/>
      <c r="E840" s="263"/>
      <c r="F840" s="647"/>
      <c r="G840" s="650" t="s">
        <v>589</v>
      </c>
      <c r="H840" s="638">
        <f t="shared" ref="H840:H841" si="12">H847</f>
        <v>0</v>
      </c>
      <c r="I840" s="611" t="s">
        <v>641</v>
      </c>
      <c r="J840" s="79" t="s">
        <v>641</v>
      </c>
      <c r="K840" s="166" t="s">
        <v>641</v>
      </c>
      <c r="L840" s="80" t="s">
        <v>641</v>
      </c>
      <c r="M840" s="120" t="s">
        <v>641</v>
      </c>
    </row>
    <row r="841" spans="1:13" x14ac:dyDescent="0.2">
      <c r="A841" s="496">
        <v>6</v>
      </c>
      <c r="B841" s="649"/>
      <c r="C841" s="649"/>
      <c r="D841" s="646"/>
      <c r="E841" s="263"/>
      <c r="F841" s="647"/>
      <c r="G841" s="650" t="s">
        <v>22</v>
      </c>
      <c r="H841" s="638">
        <f t="shared" si="12"/>
        <v>100</v>
      </c>
      <c r="I841" s="611" t="s">
        <v>641</v>
      </c>
      <c r="J841" s="79" t="s">
        <v>641</v>
      </c>
      <c r="K841" s="166" t="s">
        <v>641</v>
      </c>
      <c r="L841" s="80" t="s">
        <v>641</v>
      </c>
      <c r="M841" s="120" t="s">
        <v>641</v>
      </c>
    </row>
    <row r="842" spans="1:13" x14ac:dyDescent="0.2">
      <c r="A842" s="496">
        <v>6</v>
      </c>
      <c r="B842" s="649"/>
      <c r="C842" s="649"/>
      <c r="D842" s="646"/>
      <c r="E842" s="263"/>
      <c r="F842" s="647"/>
      <c r="G842" s="648" t="s">
        <v>249</v>
      </c>
      <c r="H842" s="638">
        <f>H845+H846+H854+H856+H859+H863+H850</f>
        <v>1549</v>
      </c>
      <c r="I842" s="611" t="s">
        <v>641</v>
      </c>
      <c r="J842" s="79" t="s">
        <v>641</v>
      </c>
      <c r="K842" s="166" t="s">
        <v>641</v>
      </c>
      <c r="L842" s="80" t="s">
        <v>641</v>
      </c>
      <c r="M842" s="120" t="s">
        <v>641</v>
      </c>
    </row>
    <row r="843" spans="1:13" x14ac:dyDescent="0.2">
      <c r="A843" s="496">
        <v>6</v>
      </c>
      <c r="B843" s="649"/>
      <c r="C843" s="649"/>
      <c r="D843" s="646"/>
      <c r="E843" s="263"/>
      <c r="F843" s="647"/>
      <c r="G843" s="638" t="s">
        <v>247</v>
      </c>
      <c r="H843" s="638">
        <f>SUM(H838:H842)</f>
        <v>3263.4</v>
      </c>
      <c r="I843" s="611" t="s">
        <v>641</v>
      </c>
      <c r="J843" s="79" t="s">
        <v>641</v>
      </c>
      <c r="K843" s="166" t="s">
        <v>641</v>
      </c>
      <c r="L843" s="80" t="s">
        <v>641</v>
      </c>
      <c r="M843" s="120" t="s">
        <v>641</v>
      </c>
    </row>
    <row r="844" spans="1:13" ht="21" customHeight="1" x14ac:dyDescent="0.2">
      <c r="A844" s="496">
        <v>6</v>
      </c>
      <c r="B844" s="651"/>
      <c r="C844" s="651" t="s">
        <v>1260</v>
      </c>
      <c r="D844" s="1036" t="s">
        <v>1261</v>
      </c>
      <c r="E844" s="273" t="s">
        <v>1262</v>
      </c>
      <c r="F844" s="263" t="s">
        <v>1263</v>
      </c>
      <c r="G844" s="652" t="s">
        <v>1259</v>
      </c>
      <c r="H844" s="653">
        <v>0</v>
      </c>
      <c r="I844" s="235" t="s">
        <v>641</v>
      </c>
      <c r="J844" s="76" t="s">
        <v>1264</v>
      </c>
      <c r="K844" s="164" t="s">
        <v>974</v>
      </c>
      <c r="L844" s="102">
        <v>70</v>
      </c>
      <c r="M844" s="97" t="s">
        <v>183</v>
      </c>
    </row>
    <row r="845" spans="1:13" ht="20.45" customHeight="1" x14ac:dyDescent="0.2">
      <c r="A845" s="496">
        <v>6</v>
      </c>
      <c r="B845" s="651"/>
      <c r="C845" s="651" t="s">
        <v>1260</v>
      </c>
      <c r="D845" s="1037"/>
      <c r="E845" s="273" t="s">
        <v>1262</v>
      </c>
      <c r="F845" s="263" t="s">
        <v>1263</v>
      </c>
      <c r="G845" s="652" t="s">
        <v>249</v>
      </c>
      <c r="H845" s="653">
        <v>350</v>
      </c>
      <c r="I845" s="235" t="s">
        <v>641</v>
      </c>
      <c r="J845" s="76" t="s">
        <v>641</v>
      </c>
      <c r="K845" s="164" t="s">
        <v>641</v>
      </c>
      <c r="L845" s="102" t="s">
        <v>641</v>
      </c>
      <c r="M845" s="97" t="s">
        <v>183</v>
      </c>
    </row>
    <row r="846" spans="1:13" x14ac:dyDescent="0.2">
      <c r="A846" s="496">
        <v>6</v>
      </c>
      <c r="B846" s="651"/>
      <c r="C846" s="651" t="s">
        <v>1265</v>
      </c>
      <c r="D846" s="1036" t="s">
        <v>1266</v>
      </c>
      <c r="E846" s="654" t="s">
        <v>1262</v>
      </c>
      <c r="F846" s="263" t="s">
        <v>1263</v>
      </c>
      <c r="G846" s="655" t="s">
        <v>249</v>
      </c>
      <c r="H846" s="653">
        <v>648</v>
      </c>
      <c r="I846" s="235" t="s">
        <v>641</v>
      </c>
      <c r="J846" s="103" t="s">
        <v>1264</v>
      </c>
      <c r="K846" s="164" t="s">
        <v>974</v>
      </c>
      <c r="L846" s="102">
        <v>70</v>
      </c>
      <c r="M846" s="97" t="s">
        <v>1267</v>
      </c>
    </row>
    <row r="847" spans="1:13" x14ac:dyDescent="0.2">
      <c r="A847" s="496">
        <v>6</v>
      </c>
      <c r="B847" s="651"/>
      <c r="C847" s="651" t="s">
        <v>1265</v>
      </c>
      <c r="D847" s="1027"/>
      <c r="E847" s="656">
        <v>9</v>
      </c>
      <c r="F847" s="263" t="s">
        <v>1263</v>
      </c>
      <c r="G847" s="655" t="s">
        <v>589</v>
      </c>
      <c r="H847" s="653">
        <v>0</v>
      </c>
      <c r="I847" s="235" t="s">
        <v>196</v>
      </c>
      <c r="J847" s="103"/>
      <c r="K847" s="170"/>
      <c r="L847" s="102"/>
      <c r="M847" s="97" t="s">
        <v>1267</v>
      </c>
    </row>
    <row r="848" spans="1:13" x14ac:dyDescent="0.2">
      <c r="A848" s="496">
        <v>6</v>
      </c>
      <c r="B848" s="657"/>
      <c r="C848" s="651" t="s">
        <v>1265</v>
      </c>
      <c r="D848" s="1027"/>
      <c r="E848" s="656">
        <v>9</v>
      </c>
      <c r="F848" s="263" t="s">
        <v>1263</v>
      </c>
      <c r="G848" s="582" t="s">
        <v>22</v>
      </c>
      <c r="H848" s="653">
        <v>100</v>
      </c>
      <c r="I848" s="235" t="s">
        <v>196</v>
      </c>
      <c r="J848" s="103" t="s">
        <v>379</v>
      </c>
      <c r="K848" s="170" t="s">
        <v>1268</v>
      </c>
      <c r="L848" s="102">
        <v>100</v>
      </c>
      <c r="M848" s="97" t="s">
        <v>1267</v>
      </c>
    </row>
    <row r="849" spans="1:13" x14ac:dyDescent="0.2">
      <c r="A849" s="496">
        <v>6</v>
      </c>
      <c r="B849" s="657"/>
      <c r="C849" s="651" t="s">
        <v>1265</v>
      </c>
      <c r="D849" s="1037"/>
      <c r="E849" s="658">
        <v>9</v>
      </c>
      <c r="F849" s="263" t="s">
        <v>1263</v>
      </c>
      <c r="G849" s="655" t="s">
        <v>19</v>
      </c>
      <c r="H849" s="653"/>
      <c r="I849" s="235" t="s">
        <v>196</v>
      </c>
      <c r="J849" s="103" t="s">
        <v>379</v>
      </c>
      <c r="K849" s="170" t="s">
        <v>1268</v>
      </c>
      <c r="L849" s="102">
        <v>100</v>
      </c>
      <c r="M849" s="97" t="s">
        <v>1267</v>
      </c>
    </row>
    <row r="850" spans="1:13" x14ac:dyDescent="0.2">
      <c r="A850" s="496">
        <v>6</v>
      </c>
      <c r="B850" s="657"/>
      <c r="C850" s="657" t="s">
        <v>1269</v>
      </c>
      <c r="D850" s="1036" t="s">
        <v>1270</v>
      </c>
      <c r="E850" s="654" t="s">
        <v>1262</v>
      </c>
      <c r="F850" s="273" t="s">
        <v>1263</v>
      </c>
      <c r="G850" s="652" t="s">
        <v>249</v>
      </c>
      <c r="H850" s="659">
        <v>501</v>
      </c>
      <c r="I850" s="235" t="s">
        <v>641</v>
      </c>
      <c r="J850" s="103" t="s">
        <v>1264</v>
      </c>
      <c r="K850" s="164" t="s">
        <v>974</v>
      </c>
      <c r="L850" s="102">
        <v>100</v>
      </c>
      <c r="M850" s="97" t="s">
        <v>1267</v>
      </c>
    </row>
    <row r="851" spans="1:13" x14ac:dyDescent="0.2">
      <c r="A851" s="496">
        <v>6</v>
      </c>
      <c r="B851" s="657"/>
      <c r="C851" s="657" t="s">
        <v>1269</v>
      </c>
      <c r="D851" s="1027"/>
      <c r="E851" s="654">
        <v>9</v>
      </c>
      <c r="F851" s="273" t="s">
        <v>1263</v>
      </c>
      <c r="G851" s="652" t="s">
        <v>589</v>
      </c>
      <c r="H851" s="659"/>
      <c r="I851" s="235" t="s">
        <v>641</v>
      </c>
      <c r="J851" s="103" t="s">
        <v>379</v>
      </c>
      <c r="K851" s="170" t="s">
        <v>1268</v>
      </c>
      <c r="L851" s="102">
        <v>100</v>
      </c>
      <c r="M851" s="97" t="s">
        <v>1267</v>
      </c>
    </row>
    <row r="852" spans="1:13" x14ac:dyDescent="0.2">
      <c r="A852" s="496">
        <v>6</v>
      </c>
      <c r="B852" s="657"/>
      <c r="C852" s="657" t="s">
        <v>1269</v>
      </c>
      <c r="D852" s="1027"/>
      <c r="E852" s="654">
        <v>9</v>
      </c>
      <c r="F852" s="273" t="s">
        <v>1263</v>
      </c>
      <c r="G852" s="652" t="s">
        <v>22</v>
      </c>
      <c r="H852" s="659"/>
      <c r="I852" s="235" t="s">
        <v>641</v>
      </c>
      <c r="J852" s="103" t="s">
        <v>379</v>
      </c>
      <c r="K852" s="170" t="s">
        <v>1268</v>
      </c>
      <c r="L852" s="102">
        <v>100</v>
      </c>
      <c r="M852" s="97" t="s">
        <v>1267</v>
      </c>
    </row>
    <row r="853" spans="1:13" x14ac:dyDescent="0.2">
      <c r="A853" s="496">
        <v>6</v>
      </c>
      <c r="B853" s="657"/>
      <c r="C853" s="657" t="s">
        <v>1269</v>
      </c>
      <c r="D853" s="1037"/>
      <c r="E853" s="660">
        <v>9</v>
      </c>
      <c r="F853" s="273" t="s">
        <v>1263</v>
      </c>
      <c r="G853" s="652" t="s">
        <v>19</v>
      </c>
      <c r="H853" s="659"/>
      <c r="I853" s="235" t="s">
        <v>196</v>
      </c>
      <c r="J853" s="103" t="s">
        <v>379</v>
      </c>
      <c r="K853" s="170" t="s">
        <v>1268</v>
      </c>
      <c r="L853" s="102">
        <v>100</v>
      </c>
      <c r="M853" s="97" t="s">
        <v>1267</v>
      </c>
    </row>
    <row r="854" spans="1:13" ht="15.6" customHeight="1" x14ac:dyDescent="0.2">
      <c r="A854" s="496">
        <v>6</v>
      </c>
      <c r="B854" s="657"/>
      <c r="C854" s="657" t="s">
        <v>1271</v>
      </c>
      <c r="D854" s="1053" t="s">
        <v>1272</v>
      </c>
      <c r="E854" s="660" t="s">
        <v>1262</v>
      </c>
      <c r="F854" s="263" t="s">
        <v>1263</v>
      </c>
      <c r="G854" s="661" t="s">
        <v>249</v>
      </c>
      <c r="H854" s="659"/>
      <c r="I854" s="235" t="s">
        <v>641</v>
      </c>
      <c r="J854" s="103" t="s">
        <v>1264</v>
      </c>
      <c r="K854" s="170" t="s">
        <v>974</v>
      </c>
      <c r="L854" s="102">
        <v>80</v>
      </c>
      <c r="M854" s="121" t="s">
        <v>246</v>
      </c>
    </row>
    <row r="855" spans="1:13" x14ac:dyDescent="0.2">
      <c r="A855" s="496">
        <v>6</v>
      </c>
      <c r="B855" s="662"/>
      <c r="C855" s="657" t="s">
        <v>1271</v>
      </c>
      <c r="D855" s="1054"/>
      <c r="E855" s="663">
        <v>9</v>
      </c>
      <c r="F855" s="263" t="s">
        <v>1263</v>
      </c>
      <c r="G855" s="664" t="s">
        <v>19</v>
      </c>
      <c r="H855" s="665">
        <f>271.4+150+66</f>
        <v>487.4</v>
      </c>
      <c r="I855" s="235" t="s">
        <v>196</v>
      </c>
      <c r="J855" s="103" t="s">
        <v>379</v>
      </c>
      <c r="K855" s="170" t="s">
        <v>1268</v>
      </c>
      <c r="L855" s="102">
        <v>100</v>
      </c>
      <c r="M855" s="85" t="s">
        <v>246</v>
      </c>
    </row>
    <row r="856" spans="1:13" x14ac:dyDescent="0.2">
      <c r="A856" s="496">
        <v>6</v>
      </c>
      <c r="B856" s="657"/>
      <c r="C856" s="657" t="s">
        <v>1273</v>
      </c>
      <c r="D856" s="1055" t="s">
        <v>1274</v>
      </c>
      <c r="E856" s="660" t="s">
        <v>1262</v>
      </c>
      <c r="F856" s="263" t="s">
        <v>1263</v>
      </c>
      <c r="G856" s="661" t="s">
        <v>249</v>
      </c>
      <c r="H856" s="659">
        <v>50</v>
      </c>
      <c r="I856" s="235" t="s">
        <v>641</v>
      </c>
      <c r="J856" s="103" t="s">
        <v>1264</v>
      </c>
      <c r="K856" s="164" t="s">
        <v>1255</v>
      </c>
      <c r="L856" s="102">
        <v>1</v>
      </c>
      <c r="M856" s="121" t="s">
        <v>222</v>
      </c>
    </row>
    <row r="857" spans="1:13" ht="16.149999999999999" customHeight="1" x14ac:dyDescent="0.2">
      <c r="A857" s="496">
        <v>6</v>
      </c>
      <c r="B857" s="666"/>
      <c r="C857" s="657" t="s">
        <v>1273</v>
      </c>
      <c r="D857" s="1054"/>
      <c r="E857" s="667">
        <v>9</v>
      </c>
      <c r="F857" s="263" t="s">
        <v>1263</v>
      </c>
      <c r="G857" s="668" t="s">
        <v>19</v>
      </c>
      <c r="H857" s="669">
        <v>0</v>
      </c>
      <c r="I857" s="235" t="s">
        <v>196</v>
      </c>
      <c r="J857" s="76" t="s">
        <v>641</v>
      </c>
      <c r="K857" s="164" t="s">
        <v>641</v>
      </c>
      <c r="L857" s="102" t="s">
        <v>641</v>
      </c>
      <c r="M857" s="122" t="s">
        <v>222</v>
      </c>
    </row>
    <row r="858" spans="1:13" ht="22.5" x14ac:dyDescent="0.2">
      <c r="A858" s="496">
        <v>6</v>
      </c>
      <c r="B858" s="662"/>
      <c r="C858" s="662" t="s">
        <v>1275</v>
      </c>
      <c r="D858" s="1048" t="s">
        <v>1276</v>
      </c>
      <c r="E858" s="670">
        <v>9</v>
      </c>
      <c r="F858" s="263" t="s">
        <v>1263</v>
      </c>
      <c r="G858" s="664" t="s">
        <v>19</v>
      </c>
      <c r="H858" s="665">
        <v>1057.5</v>
      </c>
      <c r="I858" s="235" t="s">
        <v>58</v>
      </c>
      <c r="J858" s="76" t="s">
        <v>1277</v>
      </c>
      <c r="K858" s="164" t="s">
        <v>1278</v>
      </c>
      <c r="L858" s="102">
        <v>60</v>
      </c>
      <c r="M858" s="85" t="s">
        <v>67</v>
      </c>
    </row>
    <row r="859" spans="1:13" ht="18.600000000000001" customHeight="1" x14ac:dyDescent="0.2">
      <c r="A859" s="496">
        <v>6</v>
      </c>
      <c r="B859" s="662"/>
      <c r="C859" s="662" t="s">
        <v>1275</v>
      </c>
      <c r="D859" s="1056"/>
      <c r="E859" s="671" t="s">
        <v>1262</v>
      </c>
      <c r="F859" s="263" t="s">
        <v>1263</v>
      </c>
      <c r="G859" s="668" t="s">
        <v>249</v>
      </c>
      <c r="H859" s="669"/>
      <c r="I859" s="235" t="s">
        <v>641</v>
      </c>
      <c r="J859" s="76" t="s">
        <v>641</v>
      </c>
      <c r="K859" s="164"/>
      <c r="L859" s="102"/>
      <c r="M859" s="123" t="s">
        <v>67</v>
      </c>
    </row>
    <row r="860" spans="1:13" ht="33.75" x14ac:dyDescent="0.2">
      <c r="A860" s="496">
        <v>6</v>
      </c>
      <c r="B860" s="672"/>
      <c r="C860" s="662" t="s">
        <v>1279</v>
      </c>
      <c r="D860" s="673" t="s">
        <v>1280</v>
      </c>
      <c r="E860" s="674">
        <v>9</v>
      </c>
      <c r="F860" s="647" t="s">
        <v>1263</v>
      </c>
      <c r="G860" s="675" t="s">
        <v>19</v>
      </c>
      <c r="H860" s="527">
        <f>60-50</f>
        <v>10</v>
      </c>
      <c r="I860" s="235" t="s">
        <v>58</v>
      </c>
      <c r="J860" s="103" t="s">
        <v>379</v>
      </c>
      <c r="K860" s="164" t="s">
        <v>404</v>
      </c>
      <c r="L860" s="102">
        <v>1</v>
      </c>
      <c r="M860" s="85" t="s">
        <v>1267</v>
      </c>
    </row>
    <row r="861" spans="1:13" ht="33.75" x14ac:dyDescent="0.2">
      <c r="A861" s="496">
        <v>6</v>
      </c>
      <c r="B861" s="672"/>
      <c r="C861" s="662" t="s">
        <v>1281</v>
      </c>
      <c r="D861" s="673" t="s">
        <v>1282</v>
      </c>
      <c r="E861" s="676">
        <v>9</v>
      </c>
      <c r="F861" s="647" t="s">
        <v>1263</v>
      </c>
      <c r="G861" s="677" t="s">
        <v>19</v>
      </c>
      <c r="H861" s="653">
        <v>33.5</v>
      </c>
      <c r="I861" s="235" t="s">
        <v>196</v>
      </c>
      <c r="J861" s="103" t="s">
        <v>379</v>
      </c>
      <c r="K861" s="164" t="s">
        <v>1283</v>
      </c>
      <c r="L861" s="102">
        <v>100</v>
      </c>
      <c r="M861" s="97" t="s">
        <v>198</v>
      </c>
    </row>
    <row r="862" spans="1:13" x14ac:dyDescent="0.2">
      <c r="A862" s="496">
        <v>6</v>
      </c>
      <c r="B862" s="678"/>
      <c r="C862" s="662" t="s">
        <v>1284</v>
      </c>
      <c r="D862" s="1047" t="s">
        <v>1285</v>
      </c>
      <c r="E862" s="679">
        <v>9</v>
      </c>
      <c r="F862" s="680" t="s">
        <v>1263</v>
      </c>
      <c r="G862" s="681" t="s">
        <v>19</v>
      </c>
      <c r="H862" s="665"/>
      <c r="I862" s="235" t="s">
        <v>196</v>
      </c>
      <c r="J862" s="103" t="s">
        <v>379</v>
      </c>
      <c r="K862" s="170" t="s">
        <v>1268</v>
      </c>
      <c r="L862" s="102">
        <v>100</v>
      </c>
      <c r="M862" s="85" t="s">
        <v>1267</v>
      </c>
    </row>
    <row r="863" spans="1:13" ht="19.149999999999999" customHeight="1" x14ac:dyDescent="0.2">
      <c r="A863" s="496">
        <v>6</v>
      </c>
      <c r="B863" s="662"/>
      <c r="C863" s="662" t="s">
        <v>1284</v>
      </c>
      <c r="D863" s="1048"/>
      <c r="E863" s="679" t="s">
        <v>1262</v>
      </c>
      <c r="F863" s="680" t="s">
        <v>1263</v>
      </c>
      <c r="G863" s="681" t="s">
        <v>249</v>
      </c>
      <c r="H863" s="665">
        <v>0</v>
      </c>
      <c r="I863" s="235" t="s">
        <v>641</v>
      </c>
      <c r="J863" s="79" t="s">
        <v>1264</v>
      </c>
      <c r="K863" s="171" t="s">
        <v>641</v>
      </c>
      <c r="L863" s="124" t="s">
        <v>641</v>
      </c>
      <c r="M863" s="125" t="s">
        <v>1267</v>
      </c>
    </row>
    <row r="864" spans="1:13" ht="21" customHeight="1" x14ac:dyDescent="0.2">
      <c r="A864" s="496">
        <v>6</v>
      </c>
      <c r="B864" s="662"/>
      <c r="C864" s="672" t="s">
        <v>1286</v>
      </c>
      <c r="D864" s="1052" t="s">
        <v>1287</v>
      </c>
      <c r="E864" s="961">
        <v>9</v>
      </c>
      <c r="F864" s="680" t="s">
        <v>1263</v>
      </c>
      <c r="G864" s="681" t="s">
        <v>19</v>
      </c>
      <c r="H864" s="665">
        <f>26-7</f>
        <v>19</v>
      </c>
      <c r="I864" s="235" t="s">
        <v>196</v>
      </c>
      <c r="J864" s="103" t="s">
        <v>379</v>
      </c>
      <c r="K864" s="164" t="s">
        <v>970</v>
      </c>
      <c r="L864" s="102">
        <v>1</v>
      </c>
      <c r="M864" s="125" t="s">
        <v>67</v>
      </c>
    </row>
    <row r="865" spans="1:13" x14ac:dyDescent="0.2">
      <c r="A865" s="496">
        <v>6</v>
      </c>
      <c r="B865" s="662"/>
      <c r="C865" s="672"/>
      <c r="D865" s="1052"/>
      <c r="E865" s="961">
        <v>23</v>
      </c>
      <c r="F865" s="680" t="s">
        <v>2082</v>
      </c>
      <c r="G865" s="963" t="s">
        <v>19</v>
      </c>
      <c r="H865" s="665">
        <v>7</v>
      </c>
      <c r="I865" s="235"/>
      <c r="J865" s="287" t="s">
        <v>2083</v>
      </c>
      <c r="K865" s="705" t="s">
        <v>2084</v>
      </c>
      <c r="L865" s="654">
        <v>1</v>
      </c>
      <c r="M865" s="125" t="s">
        <v>67</v>
      </c>
    </row>
    <row r="866" spans="1:13" ht="22.5" x14ac:dyDescent="0.2">
      <c r="A866" s="496">
        <v>6</v>
      </c>
      <c r="B866" s="662"/>
      <c r="C866" s="662" t="s">
        <v>1288</v>
      </c>
      <c r="D866" s="682" t="s">
        <v>1289</v>
      </c>
      <c r="E866" s="679">
        <v>9</v>
      </c>
      <c r="F866" s="680" t="s">
        <v>1263</v>
      </c>
      <c r="G866" s="681" t="s">
        <v>19</v>
      </c>
      <c r="H866" s="665"/>
      <c r="I866" s="235" t="s">
        <v>196</v>
      </c>
      <c r="J866" s="103" t="s">
        <v>379</v>
      </c>
      <c r="K866" s="164" t="s">
        <v>1290</v>
      </c>
      <c r="L866" s="102">
        <v>10</v>
      </c>
      <c r="M866" s="125" t="s">
        <v>198</v>
      </c>
    </row>
    <row r="867" spans="1:13" ht="22.5" x14ac:dyDescent="0.2">
      <c r="A867" s="496">
        <v>6</v>
      </c>
      <c r="B867" s="683"/>
      <c r="C867" s="683" t="s">
        <v>1291</v>
      </c>
      <c r="D867" s="684" t="s">
        <v>1292</v>
      </c>
      <c r="E867" s="685"/>
      <c r="F867" s="685"/>
      <c r="G867" s="686"/>
      <c r="H867" s="687"/>
      <c r="I867" s="235" t="s">
        <v>641</v>
      </c>
      <c r="J867" s="79" t="s">
        <v>641</v>
      </c>
      <c r="K867" s="166" t="s">
        <v>641</v>
      </c>
      <c r="L867" s="82" t="s">
        <v>641</v>
      </c>
      <c r="M867" s="125" t="s">
        <v>641</v>
      </c>
    </row>
    <row r="868" spans="1:13" x14ac:dyDescent="0.2">
      <c r="A868" s="496">
        <v>6</v>
      </c>
      <c r="B868" s="688"/>
      <c r="C868" s="688"/>
      <c r="D868" s="689"/>
      <c r="E868" s="690"/>
      <c r="F868" s="690"/>
      <c r="G868" s="691" t="s">
        <v>19</v>
      </c>
      <c r="H868" s="692">
        <f>H872+H891+H878</f>
        <v>471.5</v>
      </c>
      <c r="I868" s="235" t="s">
        <v>641</v>
      </c>
      <c r="J868" s="79" t="s">
        <v>641</v>
      </c>
      <c r="K868" s="165" t="s">
        <v>641</v>
      </c>
      <c r="L868" s="82" t="s">
        <v>641</v>
      </c>
      <c r="M868" s="83" t="s">
        <v>641</v>
      </c>
    </row>
    <row r="869" spans="1:13" x14ac:dyDescent="0.2">
      <c r="A869" s="496">
        <v>6</v>
      </c>
      <c r="B869" s="688"/>
      <c r="C869" s="688"/>
      <c r="D869" s="689"/>
      <c r="E869" s="690"/>
      <c r="F869" s="690"/>
      <c r="G869" s="691" t="s">
        <v>22</v>
      </c>
      <c r="H869" s="692">
        <f>H884</f>
        <v>280.5</v>
      </c>
      <c r="I869" s="235"/>
      <c r="J869" s="79"/>
      <c r="K869" s="165"/>
      <c r="L869" s="82"/>
      <c r="M869" s="83"/>
    </row>
    <row r="870" spans="1:13" x14ac:dyDescent="0.2">
      <c r="A870" s="496">
        <v>6</v>
      </c>
      <c r="B870" s="688"/>
      <c r="C870" s="688"/>
      <c r="D870" s="689"/>
      <c r="E870" s="690"/>
      <c r="F870" s="690"/>
      <c r="G870" s="691" t="s">
        <v>177</v>
      </c>
      <c r="H870" s="692">
        <f>SUM(H882)</f>
        <v>100</v>
      </c>
      <c r="I870" s="235"/>
      <c r="J870" s="79"/>
      <c r="K870" s="165"/>
      <c r="L870" s="82"/>
      <c r="M870" s="83"/>
    </row>
    <row r="871" spans="1:13" x14ac:dyDescent="0.2">
      <c r="A871" s="496">
        <v>6</v>
      </c>
      <c r="B871" s="688"/>
      <c r="C871" s="688"/>
      <c r="D871" s="689"/>
      <c r="E871" s="690"/>
      <c r="F871" s="690"/>
      <c r="G871" s="638" t="s">
        <v>247</v>
      </c>
      <c r="H871" s="692">
        <f>SUM(H868:H870)</f>
        <v>852</v>
      </c>
      <c r="I871" s="235"/>
      <c r="J871" s="79"/>
      <c r="K871" s="165"/>
      <c r="L871" s="82"/>
      <c r="M871" s="83"/>
    </row>
    <row r="872" spans="1:13" ht="22.5" x14ac:dyDescent="0.2">
      <c r="A872" s="496">
        <v>6</v>
      </c>
      <c r="B872" s="696"/>
      <c r="C872" s="696" t="s">
        <v>1293</v>
      </c>
      <c r="D872" s="697" t="s">
        <v>1294</v>
      </c>
      <c r="E872" s="698">
        <v>9</v>
      </c>
      <c r="F872" s="698" t="s">
        <v>1295</v>
      </c>
      <c r="G872" s="699" t="s">
        <v>19</v>
      </c>
      <c r="H872" s="700">
        <f>SUM(H873:H877)</f>
        <v>117.8</v>
      </c>
      <c r="I872" s="235" t="s">
        <v>641</v>
      </c>
      <c r="J872" s="79" t="s">
        <v>641</v>
      </c>
      <c r="K872" s="165" t="s">
        <v>641</v>
      </c>
      <c r="L872" s="82" t="s">
        <v>641</v>
      </c>
      <c r="M872" s="83" t="s">
        <v>641</v>
      </c>
    </row>
    <row r="873" spans="1:13" ht="33.75" x14ac:dyDescent="0.2">
      <c r="A873" s="496">
        <v>6</v>
      </c>
      <c r="B873" s="693"/>
      <c r="C873" s="693" t="s">
        <v>1296</v>
      </c>
      <c r="D873" s="701" t="s">
        <v>1297</v>
      </c>
      <c r="E873" s="654">
        <v>9</v>
      </c>
      <c r="F873" s="654" t="s">
        <v>1295</v>
      </c>
      <c r="G873" s="694" t="s">
        <v>19</v>
      </c>
      <c r="H873" s="695">
        <v>20</v>
      </c>
      <c r="I873" s="235" t="s">
        <v>58</v>
      </c>
      <c r="J873" s="103" t="s">
        <v>379</v>
      </c>
      <c r="K873" s="166" t="s">
        <v>1298</v>
      </c>
      <c r="L873" s="82">
        <v>1</v>
      </c>
      <c r="M873" s="97" t="s">
        <v>67</v>
      </c>
    </row>
    <row r="874" spans="1:13" ht="33.75" x14ac:dyDescent="0.2">
      <c r="A874" s="496">
        <v>6</v>
      </c>
      <c r="B874" s="693"/>
      <c r="C874" s="693" t="s">
        <v>1299</v>
      </c>
      <c r="D874" s="702" t="s">
        <v>1300</v>
      </c>
      <c r="E874" s="676">
        <v>9</v>
      </c>
      <c r="F874" s="676" t="s">
        <v>1295</v>
      </c>
      <c r="G874" s="677" t="s">
        <v>19</v>
      </c>
      <c r="H874" s="527">
        <v>34.5</v>
      </c>
      <c r="I874" s="235" t="s">
        <v>196</v>
      </c>
      <c r="J874" s="103" t="s">
        <v>379</v>
      </c>
      <c r="K874" s="166" t="s">
        <v>1298</v>
      </c>
      <c r="L874" s="82">
        <v>1</v>
      </c>
      <c r="M874" s="97" t="s">
        <v>183</v>
      </c>
    </row>
    <row r="875" spans="1:13" ht="33.75" x14ac:dyDescent="0.2">
      <c r="A875" s="496">
        <v>6</v>
      </c>
      <c r="B875" s="693"/>
      <c r="C875" s="693" t="s">
        <v>1301</v>
      </c>
      <c r="D875" s="702" t="s">
        <v>1302</v>
      </c>
      <c r="E875" s="676">
        <v>9</v>
      </c>
      <c r="F875" s="676" t="s">
        <v>1295</v>
      </c>
      <c r="G875" s="677" t="s">
        <v>19</v>
      </c>
      <c r="H875" s="527">
        <v>21.5</v>
      </c>
      <c r="I875" s="235" t="s">
        <v>196</v>
      </c>
      <c r="J875" s="103" t="s">
        <v>379</v>
      </c>
      <c r="K875" s="166" t="s">
        <v>1298</v>
      </c>
      <c r="L875" s="82">
        <v>1</v>
      </c>
      <c r="M875" s="97" t="s">
        <v>222</v>
      </c>
    </row>
    <row r="876" spans="1:13" ht="33.75" x14ac:dyDescent="0.2">
      <c r="A876" s="496">
        <v>6</v>
      </c>
      <c r="B876" s="693"/>
      <c r="C876" s="693" t="s">
        <v>1303</v>
      </c>
      <c r="D876" s="702" t="s">
        <v>1304</v>
      </c>
      <c r="E876" s="676">
        <v>9</v>
      </c>
      <c r="F876" s="676" t="s">
        <v>1295</v>
      </c>
      <c r="G876" s="677" t="s">
        <v>19</v>
      </c>
      <c r="H876" s="527">
        <v>17.600000000000001</v>
      </c>
      <c r="I876" s="235" t="s">
        <v>196</v>
      </c>
      <c r="J876" s="103" t="s">
        <v>379</v>
      </c>
      <c r="K876" s="166" t="s">
        <v>1298</v>
      </c>
      <c r="L876" s="82">
        <v>1</v>
      </c>
      <c r="M876" s="97" t="s">
        <v>183</v>
      </c>
    </row>
    <row r="877" spans="1:13" ht="33.75" x14ac:dyDescent="0.2">
      <c r="A877" s="496">
        <v>6</v>
      </c>
      <c r="B877" s="693"/>
      <c r="C877" s="693" t="s">
        <v>1305</v>
      </c>
      <c r="D877" s="702" t="s">
        <v>1306</v>
      </c>
      <c r="E877" s="676">
        <v>9</v>
      </c>
      <c r="F877" s="676" t="s">
        <v>1295</v>
      </c>
      <c r="G877" s="677" t="s">
        <v>19</v>
      </c>
      <c r="H877" s="527">
        <v>24.2</v>
      </c>
      <c r="I877" s="235" t="s">
        <v>196</v>
      </c>
      <c r="J877" s="103" t="s">
        <v>379</v>
      </c>
      <c r="K877" s="166" t="s">
        <v>1298</v>
      </c>
      <c r="L877" s="82">
        <v>1</v>
      </c>
      <c r="M877" s="97" t="s">
        <v>217</v>
      </c>
    </row>
    <row r="878" spans="1:13" ht="22.5" x14ac:dyDescent="0.2">
      <c r="A878" s="496">
        <v>6</v>
      </c>
      <c r="B878" s="696"/>
      <c r="C878" s="696" t="s">
        <v>1310</v>
      </c>
      <c r="D878" s="703" t="s">
        <v>1311</v>
      </c>
      <c r="E878" s="698">
        <v>9</v>
      </c>
      <c r="F878" s="698" t="s">
        <v>1312</v>
      </c>
      <c r="G878" s="699" t="s">
        <v>19</v>
      </c>
      <c r="H878" s="700">
        <f>SUM(H879,H880,H883,H885,H886,H887,H888,H889,H890,H881)</f>
        <v>213.7</v>
      </c>
      <c r="I878" s="235" t="s">
        <v>641</v>
      </c>
      <c r="J878" s="79" t="s">
        <v>641</v>
      </c>
      <c r="K878" s="165" t="s">
        <v>641</v>
      </c>
      <c r="L878" s="82" t="s">
        <v>641</v>
      </c>
      <c r="M878" s="83" t="s">
        <v>641</v>
      </c>
    </row>
    <row r="879" spans="1:13" ht="22.5" x14ac:dyDescent="0.2">
      <c r="A879" s="496">
        <v>6</v>
      </c>
      <c r="B879" s="693"/>
      <c r="C879" s="704" t="s">
        <v>1313</v>
      </c>
      <c r="D879" s="705" t="s">
        <v>1314</v>
      </c>
      <c r="E879" s="706">
        <v>9</v>
      </c>
      <c r="F879" s="654" t="s">
        <v>1312</v>
      </c>
      <c r="G879" s="694" t="s">
        <v>19</v>
      </c>
      <c r="H879" s="695">
        <v>6.7</v>
      </c>
      <c r="I879" s="235" t="s">
        <v>58</v>
      </c>
      <c r="J879" s="103" t="s">
        <v>379</v>
      </c>
      <c r="K879" s="166" t="s">
        <v>1315</v>
      </c>
      <c r="L879" s="82">
        <v>100</v>
      </c>
      <c r="M879" s="97" t="s">
        <v>187</v>
      </c>
    </row>
    <row r="880" spans="1:13" x14ac:dyDescent="0.2">
      <c r="A880" s="496">
        <v>6</v>
      </c>
      <c r="B880" s="693"/>
      <c r="C880" s="704" t="s">
        <v>1317</v>
      </c>
      <c r="D880" s="1049" t="s">
        <v>1318</v>
      </c>
      <c r="E880" s="654">
        <v>9</v>
      </c>
      <c r="F880" s="654" t="s">
        <v>1312</v>
      </c>
      <c r="G880" s="694" t="s">
        <v>19</v>
      </c>
      <c r="H880" s="630">
        <f>290-180-100-7</f>
        <v>3</v>
      </c>
      <c r="I880" s="235" t="s">
        <v>58</v>
      </c>
      <c r="J880" s="103" t="s">
        <v>379</v>
      </c>
      <c r="K880" s="164" t="s">
        <v>1315</v>
      </c>
      <c r="L880" s="102">
        <v>40</v>
      </c>
      <c r="M880" s="97" t="s">
        <v>67</v>
      </c>
    </row>
    <row r="881" spans="1:13" ht="22.5" x14ac:dyDescent="0.2">
      <c r="A881" s="496">
        <v>6</v>
      </c>
      <c r="B881" s="693"/>
      <c r="C881" s="704"/>
      <c r="D881" s="1050"/>
      <c r="E881" s="654">
        <v>23</v>
      </c>
      <c r="F881" s="654" t="s">
        <v>1334</v>
      </c>
      <c r="G881" s="962" t="s">
        <v>19</v>
      </c>
      <c r="H881" s="630">
        <v>7</v>
      </c>
      <c r="I881" s="235"/>
      <c r="J881" s="287" t="s">
        <v>485</v>
      </c>
      <c r="K881" s="705" t="s">
        <v>2085</v>
      </c>
      <c r="L881" s="654">
        <v>1</v>
      </c>
      <c r="M881" s="97" t="s">
        <v>67</v>
      </c>
    </row>
    <row r="882" spans="1:13" ht="18" customHeight="1" x14ac:dyDescent="0.2">
      <c r="A882" s="496">
        <v>6</v>
      </c>
      <c r="B882" s="693"/>
      <c r="C882" s="704" t="s">
        <v>1317</v>
      </c>
      <c r="D882" s="1051"/>
      <c r="E882" s="654">
        <v>9</v>
      </c>
      <c r="F882" s="654" t="s">
        <v>1312</v>
      </c>
      <c r="G882" s="490" t="s">
        <v>177</v>
      </c>
      <c r="H882" s="630">
        <v>100</v>
      </c>
      <c r="I882" s="235"/>
      <c r="J882" s="76"/>
      <c r="K882" s="164"/>
      <c r="L882" s="102"/>
      <c r="M882" s="97"/>
    </row>
    <row r="883" spans="1:13" ht="39" customHeight="1" x14ac:dyDescent="0.2">
      <c r="A883" s="496">
        <v>6</v>
      </c>
      <c r="B883" s="693"/>
      <c r="C883" s="704" t="s">
        <v>1319</v>
      </c>
      <c r="D883" s="1049" t="s">
        <v>1320</v>
      </c>
      <c r="E883" s="654">
        <v>9</v>
      </c>
      <c r="F883" s="654" t="s">
        <v>1312</v>
      </c>
      <c r="G883" s="694" t="s">
        <v>19</v>
      </c>
      <c r="H883" s="630"/>
      <c r="I883" s="235" t="s">
        <v>196</v>
      </c>
      <c r="J883" s="103" t="s">
        <v>379</v>
      </c>
      <c r="K883" s="164"/>
      <c r="L883" s="102"/>
      <c r="M883" s="97" t="s">
        <v>67</v>
      </c>
    </row>
    <row r="884" spans="1:13" x14ac:dyDescent="0.2">
      <c r="A884" s="496">
        <v>6</v>
      </c>
      <c r="B884" s="693"/>
      <c r="C884" s="704"/>
      <c r="D884" s="1051"/>
      <c r="E884" s="654">
        <v>9</v>
      </c>
      <c r="F884" s="654" t="s">
        <v>1312</v>
      </c>
      <c r="G884" s="582" t="s">
        <v>22</v>
      </c>
      <c r="H884" s="630">
        <v>280.5</v>
      </c>
      <c r="I884" s="235" t="s">
        <v>196</v>
      </c>
      <c r="J884" s="103" t="s">
        <v>379</v>
      </c>
      <c r="K884" s="164" t="s">
        <v>1321</v>
      </c>
      <c r="L884" s="102">
        <v>80</v>
      </c>
      <c r="M884" s="97" t="s">
        <v>67</v>
      </c>
    </row>
    <row r="885" spans="1:13" ht="22.5" x14ac:dyDescent="0.2">
      <c r="A885" s="496">
        <v>6</v>
      </c>
      <c r="B885" s="693"/>
      <c r="C885" s="704" t="s">
        <v>1322</v>
      </c>
      <c r="D885" s="705" t="s">
        <v>1323</v>
      </c>
      <c r="E885" s="654">
        <v>9</v>
      </c>
      <c r="F885" s="654" t="s">
        <v>1312</v>
      </c>
      <c r="G885" s="694" t="s">
        <v>19</v>
      </c>
      <c r="H885" s="630">
        <v>75</v>
      </c>
      <c r="I885" s="235" t="s">
        <v>196</v>
      </c>
      <c r="J885" s="103" t="s">
        <v>379</v>
      </c>
      <c r="K885" s="164" t="s">
        <v>1324</v>
      </c>
      <c r="L885" s="102">
        <v>50</v>
      </c>
      <c r="M885" s="97" t="s">
        <v>67</v>
      </c>
    </row>
    <row r="886" spans="1:13" ht="22.5" x14ac:dyDescent="0.2">
      <c r="A886" s="496">
        <v>6</v>
      </c>
      <c r="B886" s="693"/>
      <c r="C886" s="704" t="s">
        <v>1325</v>
      </c>
      <c r="D886" s="705" t="s">
        <v>1326</v>
      </c>
      <c r="E886" s="654">
        <v>9</v>
      </c>
      <c r="F886" s="654" t="s">
        <v>1312</v>
      </c>
      <c r="G886" s="694" t="s">
        <v>19</v>
      </c>
      <c r="H886" s="630">
        <v>40</v>
      </c>
      <c r="I886" s="235" t="s">
        <v>196</v>
      </c>
      <c r="J886" s="103" t="s">
        <v>379</v>
      </c>
      <c r="K886" s="164" t="s">
        <v>1327</v>
      </c>
      <c r="L886" s="102">
        <v>100</v>
      </c>
      <c r="M886" s="97" t="s">
        <v>190</v>
      </c>
    </row>
    <row r="887" spans="1:13" ht="33.75" x14ac:dyDescent="0.2">
      <c r="A887" s="496">
        <v>6</v>
      </c>
      <c r="B887" s="693"/>
      <c r="C887" s="704" t="s">
        <v>1328</v>
      </c>
      <c r="D887" s="705" t="s">
        <v>906</v>
      </c>
      <c r="E887" s="273">
        <v>9</v>
      </c>
      <c r="F887" s="654" t="s">
        <v>1312</v>
      </c>
      <c r="G887" s="652" t="s">
        <v>19</v>
      </c>
      <c r="H887" s="630">
        <v>50</v>
      </c>
      <c r="I887" s="235" t="s">
        <v>64</v>
      </c>
      <c r="J887" s="103" t="s">
        <v>379</v>
      </c>
      <c r="K887" s="164" t="s">
        <v>908</v>
      </c>
      <c r="L887" s="77">
        <v>100</v>
      </c>
      <c r="M887" s="78" t="s">
        <v>641</v>
      </c>
    </row>
    <row r="888" spans="1:13" ht="41.45" customHeight="1" x14ac:dyDescent="0.2">
      <c r="A888" s="496">
        <v>6</v>
      </c>
      <c r="B888" s="514"/>
      <c r="C888" s="693" t="s">
        <v>1329</v>
      </c>
      <c r="D888" s="1036" t="s">
        <v>1330</v>
      </c>
      <c r="E888" s="273" t="s">
        <v>1331</v>
      </c>
      <c r="F888" s="654" t="s">
        <v>1312</v>
      </c>
      <c r="G888" s="508" t="s">
        <v>19</v>
      </c>
      <c r="H888" s="630">
        <f>60-3.7-28</f>
        <v>28.299999999999997</v>
      </c>
      <c r="I888" s="235" t="s">
        <v>64</v>
      </c>
      <c r="J888" s="76" t="s">
        <v>1332</v>
      </c>
      <c r="K888" s="164" t="s">
        <v>1333</v>
      </c>
      <c r="L888" s="77">
        <v>20</v>
      </c>
      <c r="M888" s="97" t="s">
        <v>641</v>
      </c>
    </row>
    <row r="889" spans="1:13" x14ac:dyDescent="0.2">
      <c r="A889" s="496">
        <v>6</v>
      </c>
      <c r="B889" s="514"/>
      <c r="C889" s="693" t="s">
        <v>1329</v>
      </c>
      <c r="D889" s="1027"/>
      <c r="E889" s="263">
        <v>23</v>
      </c>
      <c r="F889" s="654" t="s">
        <v>1334</v>
      </c>
      <c r="G889" s="652" t="s">
        <v>19</v>
      </c>
      <c r="H889" s="630">
        <v>3.7</v>
      </c>
      <c r="I889" s="235" t="s">
        <v>64</v>
      </c>
      <c r="J889" s="76" t="s">
        <v>485</v>
      </c>
      <c r="K889" s="705" t="s">
        <v>2066</v>
      </c>
      <c r="L889" s="273">
        <v>1</v>
      </c>
      <c r="M889" s="97" t="s">
        <v>67</v>
      </c>
    </row>
    <row r="890" spans="1:13" x14ac:dyDescent="0.2">
      <c r="A890" s="496">
        <v>6</v>
      </c>
      <c r="B890" s="514"/>
      <c r="C890" s="693" t="s">
        <v>1329</v>
      </c>
      <c r="D890" s="1037"/>
      <c r="E890" s="263">
        <v>26</v>
      </c>
      <c r="F890" s="654" t="s">
        <v>1316</v>
      </c>
      <c r="G890" s="508" t="s">
        <v>19</v>
      </c>
      <c r="H890" s="630"/>
      <c r="I890" s="235" t="s">
        <v>64</v>
      </c>
      <c r="J890" s="76"/>
      <c r="K890" s="164"/>
      <c r="L890" s="77"/>
      <c r="M890" s="97" t="s">
        <v>190</v>
      </c>
    </row>
    <row r="891" spans="1:13" ht="45" x14ac:dyDescent="0.2">
      <c r="A891" s="496">
        <v>6</v>
      </c>
      <c r="B891" s="514"/>
      <c r="C891" s="696" t="s">
        <v>2102</v>
      </c>
      <c r="D891" s="703" t="s">
        <v>1307</v>
      </c>
      <c r="E891" s="698">
        <v>9</v>
      </c>
      <c r="F891" s="698" t="s">
        <v>1308</v>
      </c>
      <c r="G891" s="699" t="s">
        <v>19</v>
      </c>
      <c r="H891" s="700">
        <f>180-40</f>
        <v>140</v>
      </c>
      <c r="I891" s="235" t="s">
        <v>49</v>
      </c>
      <c r="J891" s="103" t="s">
        <v>379</v>
      </c>
      <c r="K891" s="166" t="s">
        <v>1309</v>
      </c>
      <c r="L891" s="82">
        <v>84.6</v>
      </c>
      <c r="M891" s="97"/>
    </row>
    <row r="892" spans="1:13" ht="33.75" x14ac:dyDescent="0.2">
      <c r="A892" s="496">
        <v>6</v>
      </c>
      <c r="B892" s="231" t="s">
        <v>1335</v>
      </c>
      <c r="C892" s="231" t="s">
        <v>1335</v>
      </c>
      <c r="D892" s="504" t="s">
        <v>1336</v>
      </c>
      <c r="E892" s="505"/>
      <c r="F892" s="505"/>
      <c r="G892" s="521"/>
      <c r="H892" s="521">
        <f>SUM(H893,H894)</f>
        <v>200</v>
      </c>
      <c r="I892" s="235" t="s">
        <v>641</v>
      </c>
      <c r="J892" s="76" t="s">
        <v>2137</v>
      </c>
      <c r="K892" s="164" t="s">
        <v>641</v>
      </c>
      <c r="L892" s="77" t="s">
        <v>641</v>
      </c>
      <c r="M892" s="78" t="s">
        <v>641</v>
      </c>
    </row>
    <row r="893" spans="1:13" x14ac:dyDescent="0.2">
      <c r="A893" s="496">
        <v>6</v>
      </c>
      <c r="B893" s="528"/>
      <c r="C893" s="528"/>
      <c r="D893" s="646" t="s">
        <v>1337</v>
      </c>
      <c r="E893" s="654" t="s">
        <v>465</v>
      </c>
      <c r="F893" s="707" t="s">
        <v>1338</v>
      </c>
      <c r="G893" s="582" t="s">
        <v>22</v>
      </c>
      <c r="H893" s="630">
        <v>3.3</v>
      </c>
      <c r="I893" s="235" t="s">
        <v>641</v>
      </c>
      <c r="J893" s="76" t="s">
        <v>2137</v>
      </c>
      <c r="K893" s="170" t="s">
        <v>1339</v>
      </c>
      <c r="L893" s="77">
        <v>100</v>
      </c>
      <c r="M893" s="78" t="s">
        <v>641</v>
      </c>
    </row>
    <row r="894" spans="1:13" x14ac:dyDescent="0.2">
      <c r="A894" s="496">
        <v>6</v>
      </c>
      <c r="B894" s="528"/>
      <c r="C894" s="528"/>
      <c r="D894" s="646" t="s">
        <v>1340</v>
      </c>
      <c r="E894" s="654" t="s">
        <v>465</v>
      </c>
      <c r="F894" s="707" t="s">
        <v>1338</v>
      </c>
      <c r="G894" s="490" t="s">
        <v>589</v>
      </c>
      <c r="H894" s="630">
        <v>196.7</v>
      </c>
      <c r="I894" s="235" t="s">
        <v>641</v>
      </c>
      <c r="J894" s="76" t="s">
        <v>2137</v>
      </c>
      <c r="K894" s="170" t="s">
        <v>1339</v>
      </c>
      <c r="L894" s="77">
        <v>100</v>
      </c>
      <c r="M894" s="78" t="s">
        <v>641</v>
      </c>
    </row>
    <row r="895" spans="1:13" ht="33.75" x14ac:dyDescent="0.2">
      <c r="A895" s="496">
        <v>6</v>
      </c>
      <c r="B895" s="231" t="s">
        <v>1341</v>
      </c>
      <c r="C895" s="231" t="s">
        <v>1341</v>
      </c>
      <c r="D895" s="504" t="s">
        <v>1342</v>
      </c>
      <c r="E895" s="505">
        <v>9</v>
      </c>
      <c r="F895" s="505" t="s">
        <v>1343</v>
      </c>
      <c r="G895" s="521" t="s">
        <v>19</v>
      </c>
      <c r="H895" s="521">
        <v>25.7</v>
      </c>
      <c r="I895" s="235" t="s">
        <v>641</v>
      </c>
      <c r="J895" s="79" t="s">
        <v>379</v>
      </c>
      <c r="K895" s="169" t="s">
        <v>1339</v>
      </c>
      <c r="L895" s="80">
        <v>100</v>
      </c>
      <c r="M895" s="81" t="s">
        <v>641</v>
      </c>
    </row>
    <row r="896" spans="1:13" ht="12.75" hidden="1" customHeight="1" x14ac:dyDescent="0.2">
      <c r="A896" s="496">
        <v>6</v>
      </c>
      <c r="B896" s="227"/>
      <c r="C896" s="434"/>
      <c r="D896" s="256"/>
      <c r="E896" s="311"/>
      <c r="F896" s="307"/>
      <c r="G896" s="299" t="s">
        <v>247</v>
      </c>
      <c r="H896" s="299">
        <f>SUM(H893:H894,H871,H838:H842,H811:H812,H808,H794,H788:H788,H782,H772:H773,H760,H691:H698,H634:H642,H590:H591,H895,H821)</f>
        <v>25934.5</v>
      </c>
      <c r="I896" s="235" t="s">
        <v>641</v>
      </c>
      <c r="J896" s="79" t="s">
        <v>641</v>
      </c>
      <c r="K896" s="166" t="s">
        <v>641</v>
      </c>
      <c r="L896" s="82" t="s">
        <v>641</v>
      </c>
      <c r="M896" s="97" t="s">
        <v>641</v>
      </c>
    </row>
    <row r="897" spans="1:13" ht="12.75" hidden="1" customHeight="1" x14ac:dyDescent="0.2">
      <c r="A897" s="496">
        <v>6</v>
      </c>
      <c r="B897" s="227"/>
      <c r="C897" s="434"/>
      <c r="D897" s="256"/>
      <c r="E897" s="311"/>
      <c r="F897" s="307"/>
      <c r="G897" s="571" t="s">
        <v>19</v>
      </c>
      <c r="H897" s="211">
        <f>SUM(H868,H838,H812,H808,H794,H788,H772,H760,H698,H634,H590,H779,H895,H818)</f>
        <v>11919</v>
      </c>
      <c r="I897" s="235" t="s">
        <v>641</v>
      </c>
      <c r="J897" s="79" t="s">
        <v>641</v>
      </c>
      <c r="K897" s="166" t="s">
        <v>641</v>
      </c>
      <c r="L897" s="82" t="s">
        <v>641</v>
      </c>
      <c r="M897" s="97" t="s">
        <v>641</v>
      </c>
    </row>
    <row r="898" spans="1:13" ht="12.75" hidden="1" customHeight="1" x14ac:dyDescent="0.2">
      <c r="A898" s="496">
        <v>6</v>
      </c>
      <c r="B898" s="227"/>
      <c r="C898" s="434"/>
      <c r="D898" s="256"/>
      <c r="E898" s="311"/>
      <c r="F898" s="307"/>
      <c r="G898" s="571" t="s">
        <v>1012</v>
      </c>
      <c r="H898" s="211">
        <f>SUM(H691)</f>
        <v>4203.5</v>
      </c>
      <c r="I898" s="235" t="s">
        <v>641</v>
      </c>
      <c r="J898" s="79" t="s">
        <v>641</v>
      </c>
      <c r="K898" s="166" t="s">
        <v>641</v>
      </c>
      <c r="L898" s="82" t="s">
        <v>641</v>
      </c>
      <c r="M898" s="97" t="s">
        <v>641</v>
      </c>
    </row>
    <row r="899" spans="1:13" ht="12.75" hidden="1" customHeight="1" x14ac:dyDescent="0.2">
      <c r="A899" s="496">
        <v>6</v>
      </c>
      <c r="B899" s="227"/>
      <c r="C899" s="434"/>
      <c r="D899" s="256"/>
      <c r="E899" s="311"/>
      <c r="F899" s="307"/>
      <c r="G899" s="571" t="s">
        <v>248</v>
      </c>
      <c r="H899" s="211">
        <f>SUM(H692,H591)</f>
        <v>0</v>
      </c>
      <c r="I899" s="235" t="s">
        <v>641</v>
      </c>
      <c r="J899" s="79" t="s">
        <v>641</v>
      </c>
      <c r="K899" s="166" t="s">
        <v>641</v>
      </c>
      <c r="L899" s="82" t="s">
        <v>641</v>
      </c>
      <c r="M899" s="97" t="s">
        <v>641</v>
      </c>
    </row>
    <row r="900" spans="1:13" ht="12.75" hidden="1" customHeight="1" x14ac:dyDescent="0.2">
      <c r="A900" s="496">
        <v>6</v>
      </c>
      <c r="B900" s="227"/>
      <c r="C900" s="434"/>
      <c r="D900" s="256"/>
      <c r="E900" s="311"/>
      <c r="F900" s="307"/>
      <c r="G900" s="260" t="s">
        <v>75</v>
      </c>
      <c r="H900" s="211">
        <f>H814</f>
        <v>1493.4</v>
      </c>
      <c r="I900" s="235" t="s">
        <v>641</v>
      </c>
      <c r="J900" s="79" t="s">
        <v>641</v>
      </c>
      <c r="K900" s="166" t="s">
        <v>641</v>
      </c>
      <c r="L900" s="82" t="s">
        <v>641</v>
      </c>
      <c r="M900" s="97" t="s">
        <v>641</v>
      </c>
    </row>
    <row r="901" spans="1:13" ht="12.75" hidden="1" customHeight="1" x14ac:dyDescent="0.2">
      <c r="A901" s="496">
        <v>6</v>
      </c>
      <c r="B901" s="227"/>
      <c r="C901" s="434"/>
      <c r="D901" s="256"/>
      <c r="E901" s="311"/>
      <c r="F901" s="307"/>
      <c r="G901" s="571" t="s">
        <v>56</v>
      </c>
      <c r="H901" s="211">
        <f>SUM(H640,H694,H819)</f>
        <v>2356.8999999999996</v>
      </c>
      <c r="I901" s="235" t="s">
        <v>641</v>
      </c>
      <c r="J901" s="79" t="s">
        <v>641</v>
      </c>
      <c r="K901" s="166" t="s">
        <v>641</v>
      </c>
      <c r="L901" s="82" t="s">
        <v>641</v>
      </c>
      <c r="M901" s="97" t="s">
        <v>641</v>
      </c>
    </row>
    <row r="902" spans="1:13" ht="12.75" hidden="1" customHeight="1" x14ac:dyDescent="0.2">
      <c r="A902" s="496">
        <v>6</v>
      </c>
      <c r="B902" s="227"/>
      <c r="C902" s="434"/>
      <c r="D902" s="256"/>
      <c r="E902" s="311"/>
      <c r="F902" s="307"/>
      <c r="G902" s="547" t="s">
        <v>249</v>
      </c>
      <c r="H902" s="211">
        <f>SUM(H863,H859,H856,H854,H846,H845,H671,H832,H781,H664,H850)</f>
        <v>2074.8000000000002</v>
      </c>
      <c r="I902" s="235" t="s">
        <v>641</v>
      </c>
      <c r="J902" s="79" t="s">
        <v>641</v>
      </c>
      <c r="K902" s="166" t="s">
        <v>641</v>
      </c>
      <c r="L902" s="82" t="s">
        <v>641</v>
      </c>
      <c r="M902" s="97" t="s">
        <v>641</v>
      </c>
    </row>
    <row r="903" spans="1:13" ht="12.75" hidden="1" customHeight="1" x14ac:dyDescent="0.2">
      <c r="A903" s="496">
        <v>6</v>
      </c>
      <c r="B903" s="227"/>
      <c r="C903" s="434"/>
      <c r="D903" s="256"/>
      <c r="E903" s="311"/>
      <c r="F903" s="421"/>
      <c r="G903" s="550" t="s">
        <v>176</v>
      </c>
      <c r="H903" s="211">
        <f>H709+H656+H705</f>
        <v>197.2</v>
      </c>
      <c r="I903" s="235" t="s">
        <v>641</v>
      </c>
      <c r="J903" s="79" t="s">
        <v>641</v>
      </c>
      <c r="K903" s="166" t="s">
        <v>641</v>
      </c>
      <c r="L903" s="82" t="s">
        <v>641</v>
      </c>
      <c r="M903" s="97" t="s">
        <v>641</v>
      </c>
    </row>
    <row r="904" spans="1:13" ht="12.75" hidden="1" customHeight="1" x14ac:dyDescent="0.2">
      <c r="A904" s="496">
        <v>6</v>
      </c>
      <c r="B904" s="227"/>
      <c r="C904" s="434"/>
      <c r="D904" s="256"/>
      <c r="E904" s="311"/>
      <c r="F904" s="421"/>
      <c r="G904" s="550" t="s">
        <v>177</v>
      </c>
      <c r="H904" s="211">
        <f>SUM(H776,H654,H670,H882)</f>
        <v>1300</v>
      </c>
      <c r="I904" s="235" t="s">
        <v>641</v>
      </c>
      <c r="J904" s="79" t="s">
        <v>641</v>
      </c>
      <c r="K904" s="166" t="s">
        <v>641</v>
      </c>
      <c r="L904" s="82" t="s">
        <v>641</v>
      </c>
      <c r="M904" s="97" t="s">
        <v>641</v>
      </c>
    </row>
    <row r="905" spans="1:13" ht="12.75" hidden="1" customHeight="1" x14ac:dyDescent="0.2">
      <c r="A905" s="496">
        <v>6</v>
      </c>
      <c r="B905" s="227"/>
      <c r="C905" s="434"/>
      <c r="D905" s="256"/>
      <c r="E905" s="311"/>
      <c r="F905" s="421"/>
      <c r="G905" s="582" t="s">
        <v>22</v>
      </c>
      <c r="H905" s="211">
        <f>H893+H780+H747+H740+H655+H646+H687+H841+H684+H884</f>
        <v>817.2</v>
      </c>
      <c r="I905" s="235" t="s">
        <v>641</v>
      </c>
      <c r="J905" s="79" t="s">
        <v>641</v>
      </c>
      <c r="K905" s="166" t="s">
        <v>641</v>
      </c>
      <c r="L905" s="82" t="s">
        <v>641</v>
      </c>
      <c r="M905" s="97" t="s">
        <v>641</v>
      </c>
    </row>
    <row r="906" spans="1:13" ht="12.75" hidden="1" customHeight="1" x14ac:dyDescent="0.2">
      <c r="A906" s="496">
        <v>6</v>
      </c>
      <c r="B906" s="227"/>
      <c r="C906" s="434"/>
      <c r="D906" s="256"/>
      <c r="E906" s="311"/>
      <c r="F906" s="307"/>
      <c r="G906" s="708" t="s">
        <v>589</v>
      </c>
      <c r="H906" s="211">
        <f>SUM(H636,H840,H894,H696)</f>
        <v>301.5</v>
      </c>
      <c r="I906" s="235" t="s">
        <v>641</v>
      </c>
      <c r="J906" s="79" t="s">
        <v>641</v>
      </c>
      <c r="K906" s="166" t="s">
        <v>641</v>
      </c>
      <c r="L906" s="82" t="s">
        <v>641</v>
      </c>
      <c r="M906" s="97" t="s">
        <v>641</v>
      </c>
    </row>
    <row r="907" spans="1:13" ht="12.75" hidden="1" customHeight="1" x14ac:dyDescent="0.2">
      <c r="A907" s="496">
        <v>6</v>
      </c>
      <c r="B907" s="227"/>
      <c r="C907" s="434"/>
      <c r="D907" s="256"/>
      <c r="E907" s="311"/>
      <c r="F907" s="307"/>
      <c r="G907" s="571" t="s">
        <v>21</v>
      </c>
      <c r="H907" s="211">
        <f>SUM(H637,H697)</f>
        <v>1271</v>
      </c>
      <c r="I907" s="235" t="s">
        <v>641</v>
      </c>
      <c r="J907" s="79" t="s">
        <v>641</v>
      </c>
      <c r="K907" s="166" t="s">
        <v>641</v>
      </c>
      <c r="L907" s="82" t="s">
        <v>641</v>
      </c>
      <c r="M907" s="97" t="s">
        <v>641</v>
      </c>
    </row>
    <row r="908" spans="1:13" ht="12.75" hidden="1" customHeight="1" x14ac:dyDescent="0.2">
      <c r="A908" s="496">
        <v>6</v>
      </c>
      <c r="B908" s="227"/>
      <c r="C908" s="434"/>
      <c r="D908" s="256"/>
      <c r="E908" s="311"/>
      <c r="F908" s="307"/>
      <c r="G908" s="571" t="s">
        <v>487</v>
      </c>
      <c r="H908" s="211">
        <f>H844</f>
        <v>0</v>
      </c>
      <c r="I908" s="235" t="s">
        <v>641</v>
      </c>
      <c r="J908" s="79" t="s">
        <v>641</v>
      </c>
      <c r="K908" s="166" t="s">
        <v>641</v>
      </c>
      <c r="L908" s="82" t="s">
        <v>641</v>
      </c>
      <c r="M908" s="97" t="s">
        <v>641</v>
      </c>
    </row>
    <row r="909" spans="1:13" ht="12.75" hidden="1" customHeight="1" x14ac:dyDescent="0.2">
      <c r="A909" s="496">
        <v>6</v>
      </c>
      <c r="B909" s="227"/>
      <c r="C909" s="434"/>
      <c r="D909" s="256"/>
      <c r="E909" s="311"/>
      <c r="F909" s="307"/>
      <c r="G909" s="571" t="s">
        <v>1344</v>
      </c>
      <c r="H909" s="211">
        <f>H660</f>
        <v>0</v>
      </c>
      <c r="I909" s="235" t="s">
        <v>641</v>
      </c>
      <c r="J909" s="79" t="s">
        <v>641</v>
      </c>
      <c r="K909" s="166" t="s">
        <v>641</v>
      </c>
      <c r="L909" s="82" t="s">
        <v>641</v>
      </c>
      <c r="M909" s="97" t="s">
        <v>641</v>
      </c>
    </row>
    <row r="910" spans="1:13" ht="12.75" hidden="1" customHeight="1" x14ac:dyDescent="0.2">
      <c r="A910" s="496">
        <v>6</v>
      </c>
      <c r="B910" s="227"/>
      <c r="C910" s="434"/>
      <c r="D910" s="256"/>
      <c r="E910" s="311"/>
      <c r="F910" s="307"/>
      <c r="G910" s="571" t="s">
        <v>1225</v>
      </c>
      <c r="H910" s="211"/>
      <c r="I910" s="235" t="s">
        <v>641</v>
      </c>
      <c r="J910" s="79" t="s">
        <v>641</v>
      </c>
      <c r="K910" s="166" t="s">
        <v>641</v>
      </c>
      <c r="L910" s="82" t="s">
        <v>641</v>
      </c>
      <c r="M910" s="97" t="s">
        <v>641</v>
      </c>
    </row>
    <row r="911" spans="1:13" ht="12.75" hidden="1" customHeight="1" x14ac:dyDescent="0.2">
      <c r="A911" s="496">
        <v>6</v>
      </c>
      <c r="B911" s="227"/>
      <c r="C911" s="434"/>
      <c r="D911" s="256"/>
      <c r="E911" s="311"/>
      <c r="F911" s="307"/>
      <c r="G911" s="299" t="s">
        <v>247</v>
      </c>
      <c r="H911" s="299">
        <f>SUM(H897:H910)</f>
        <v>25934.500000000004</v>
      </c>
      <c r="I911" s="235" t="s">
        <v>641</v>
      </c>
      <c r="J911" s="79" t="s">
        <v>641</v>
      </c>
      <c r="K911" s="166" t="s">
        <v>641</v>
      </c>
      <c r="L911" s="82" t="s">
        <v>641</v>
      </c>
      <c r="M911" s="121" t="s">
        <v>641</v>
      </c>
    </row>
    <row r="912" spans="1:13" ht="12.75" hidden="1" customHeight="1" x14ac:dyDescent="0.2">
      <c r="A912" s="496">
        <v>6</v>
      </c>
      <c r="B912" s="227"/>
      <c r="C912" s="434"/>
      <c r="D912" s="256"/>
      <c r="E912" s="311"/>
      <c r="F912" s="307"/>
      <c r="G912" s="382"/>
      <c r="H912" s="382">
        <f>H896-H911</f>
        <v>0</v>
      </c>
      <c r="I912" s="202"/>
      <c r="J912" s="155"/>
      <c r="K912" s="161"/>
      <c r="L912" s="45"/>
      <c r="M912" s="126"/>
    </row>
    <row r="913" spans="1:13" ht="12.75" customHeight="1" x14ac:dyDescent="0.2">
      <c r="A913" s="934"/>
      <c r="B913" s="934"/>
      <c r="C913" s="934"/>
      <c r="D913" s="934" t="s">
        <v>2023</v>
      </c>
      <c r="E913" s="935"/>
      <c r="F913" s="934"/>
      <c r="G913" s="934"/>
      <c r="H913" s="934"/>
      <c r="I913" s="934"/>
      <c r="J913" s="934"/>
      <c r="K913" s="934"/>
      <c r="L913" s="934"/>
      <c r="M913" s="936"/>
    </row>
    <row r="914" spans="1:13" ht="27" customHeight="1" x14ac:dyDescent="0.2">
      <c r="A914" s="709">
        <v>7</v>
      </c>
      <c r="B914" s="303"/>
      <c r="C914" s="303"/>
      <c r="D914" s="304" t="s">
        <v>1345</v>
      </c>
      <c r="E914" s="710"/>
      <c r="F914" s="303"/>
      <c r="G914" s="306"/>
      <c r="H914" s="711"/>
      <c r="I914" s="307"/>
      <c r="J914" s="155"/>
      <c r="K914" s="161"/>
      <c r="L914" s="45"/>
      <c r="M914" s="66"/>
    </row>
    <row r="915" spans="1:13" ht="21" customHeight="1" x14ac:dyDescent="0.2">
      <c r="A915" s="712">
        <v>7</v>
      </c>
      <c r="B915" s="308" t="s">
        <v>1346</v>
      </c>
      <c r="C915" s="308" t="s">
        <v>1346</v>
      </c>
      <c r="D915" s="313" t="s">
        <v>1347</v>
      </c>
      <c r="E915" s="713"/>
      <c r="F915" s="714"/>
      <c r="G915" s="714"/>
      <c r="H915" s="207"/>
      <c r="I915" s="307"/>
      <c r="J915" s="155"/>
      <c r="K915" s="161"/>
      <c r="L915" s="45"/>
      <c r="M915" s="55"/>
    </row>
    <row r="916" spans="1:13" ht="24" customHeight="1" x14ac:dyDescent="0.2">
      <c r="A916" s="709">
        <v>7</v>
      </c>
      <c r="B916" s="715"/>
      <c r="C916" s="715" t="s">
        <v>1355</v>
      </c>
      <c r="D916" s="716" t="s">
        <v>1356</v>
      </c>
      <c r="E916" s="715" t="s">
        <v>495</v>
      </c>
      <c r="F916" s="712" t="s">
        <v>1357</v>
      </c>
      <c r="G916" s="712" t="s">
        <v>19</v>
      </c>
      <c r="H916" s="817">
        <f>200+20</f>
        <v>220</v>
      </c>
      <c r="I916" s="307" t="s">
        <v>49</v>
      </c>
      <c r="J916" s="788" t="s">
        <v>79</v>
      </c>
      <c r="K916" s="788" t="s">
        <v>331</v>
      </c>
      <c r="L916" s="789">
        <v>100</v>
      </c>
      <c r="M916" s="127"/>
    </row>
    <row r="917" spans="1:13" ht="12.75" customHeight="1" x14ac:dyDescent="0.2">
      <c r="A917" s="712">
        <v>7</v>
      </c>
      <c r="B917" s="715"/>
      <c r="C917" s="715"/>
      <c r="D917" s="716"/>
      <c r="E917" s="715"/>
      <c r="F917" s="712" t="s">
        <v>1357</v>
      </c>
      <c r="G917" s="312" t="s">
        <v>247</v>
      </c>
      <c r="H917" s="220">
        <f>SUM(H916)</f>
        <v>220</v>
      </c>
      <c r="I917" s="307"/>
      <c r="J917" s="155"/>
      <c r="K917" s="161"/>
      <c r="L917" s="45"/>
      <c r="M917" s="127"/>
    </row>
    <row r="918" spans="1:13" ht="21" customHeight="1" x14ac:dyDescent="0.2">
      <c r="A918" s="712">
        <v>7</v>
      </c>
      <c r="B918" s="308" t="s">
        <v>1358</v>
      </c>
      <c r="C918" s="308" t="s">
        <v>1358</v>
      </c>
      <c r="D918" s="313" t="s">
        <v>1359</v>
      </c>
      <c r="E918" s="715"/>
      <c r="F918" s="712"/>
      <c r="G918" s="210"/>
      <c r="H918" s="207"/>
      <c r="I918" s="307"/>
      <c r="J918" s="155"/>
      <c r="K918" s="161"/>
      <c r="L918" s="45"/>
      <c r="M918" s="127"/>
    </row>
    <row r="919" spans="1:13" ht="48" customHeight="1" x14ac:dyDescent="0.2">
      <c r="A919" s="712">
        <v>7</v>
      </c>
      <c r="B919" s="715"/>
      <c r="C919" s="715" t="s">
        <v>1360</v>
      </c>
      <c r="D919" s="487" t="s">
        <v>1361</v>
      </c>
      <c r="E919" s="715" t="s">
        <v>1362</v>
      </c>
      <c r="F919" s="712" t="s">
        <v>1363</v>
      </c>
      <c r="G919" s="712" t="s">
        <v>19</v>
      </c>
      <c r="H919" s="817">
        <v>70</v>
      </c>
      <c r="I919" s="307" t="s">
        <v>64</v>
      </c>
      <c r="J919" s="788" t="s">
        <v>1364</v>
      </c>
      <c r="K919" s="788" t="s">
        <v>1365</v>
      </c>
      <c r="L919" s="789">
        <v>2</v>
      </c>
      <c r="M919" s="127"/>
    </row>
    <row r="920" spans="1:13" ht="22.5" x14ac:dyDescent="0.2">
      <c r="A920" s="712">
        <v>7</v>
      </c>
      <c r="B920" s="715"/>
      <c r="C920" s="715"/>
      <c r="D920" s="716"/>
      <c r="E920" s="715" t="s">
        <v>1362</v>
      </c>
      <c r="F920" s="712" t="s">
        <v>1363</v>
      </c>
      <c r="G920" s="312" t="s">
        <v>247</v>
      </c>
      <c r="H920" s="220">
        <f>SUM(H919)</f>
        <v>70</v>
      </c>
      <c r="I920" s="307"/>
      <c r="J920" s="788" t="s">
        <v>1364</v>
      </c>
      <c r="K920" s="788" t="s">
        <v>1366</v>
      </c>
      <c r="L920" s="789">
        <v>5</v>
      </c>
      <c r="M920" s="127"/>
    </row>
    <row r="921" spans="1:13" ht="26.45" customHeight="1" x14ac:dyDescent="0.2">
      <c r="A921" s="712">
        <v>7</v>
      </c>
      <c r="B921" s="715"/>
      <c r="C921" s="715" t="s">
        <v>1367</v>
      </c>
      <c r="D921" s="225" t="s">
        <v>1368</v>
      </c>
      <c r="E921" s="715" t="s">
        <v>1362</v>
      </c>
      <c r="F921" s="712" t="s">
        <v>1369</v>
      </c>
      <c r="G921" s="712" t="s">
        <v>19</v>
      </c>
      <c r="H921" s="718"/>
      <c r="I921" s="307" t="s">
        <v>64</v>
      </c>
      <c r="J921" s="788" t="s">
        <v>2127</v>
      </c>
      <c r="K921" s="788" t="s">
        <v>1370</v>
      </c>
      <c r="L921" s="789">
        <v>1</v>
      </c>
      <c r="M921" s="127" t="s">
        <v>67</v>
      </c>
    </row>
    <row r="922" spans="1:13" ht="21" customHeight="1" x14ac:dyDescent="0.2">
      <c r="A922" s="712">
        <v>7</v>
      </c>
      <c r="B922" s="715"/>
      <c r="C922" s="715"/>
      <c r="D922" s="716"/>
      <c r="E922" s="715" t="s">
        <v>513</v>
      </c>
      <c r="F922" s="712" t="s">
        <v>1371</v>
      </c>
      <c r="G922" s="712" t="s">
        <v>19</v>
      </c>
      <c r="H922" s="818">
        <v>25</v>
      </c>
      <c r="I922" s="307" t="s">
        <v>64</v>
      </c>
      <c r="J922" s="788" t="s">
        <v>485</v>
      </c>
      <c r="K922" s="790" t="s">
        <v>1372</v>
      </c>
      <c r="L922" s="789">
        <v>1</v>
      </c>
      <c r="M922" s="127" t="s">
        <v>67</v>
      </c>
    </row>
    <row r="923" spans="1:13" ht="17.45" customHeight="1" x14ac:dyDescent="0.2">
      <c r="A923" s="712">
        <v>7</v>
      </c>
      <c r="B923" s="715"/>
      <c r="C923" s="715"/>
      <c r="D923" s="716"/>
      <c r="E923" s="719" t="s">
        <v>599</v>
      </c>
      <c r="F923" s="720" t="s">
        <v>1373</v>
      </c>
      <c r="G923" s="720" t="s">
        <v>19</v>
      </c>
      <c r="H923" s="718"/>
      <c r="I923" s="307" t="s">
        <v>64</v>
      </c>
      <c r="J923" s="155"/>
      <c r="K923" s="161"/>
      <c r="L923" s="45"/>
      <c r="M923" s="127"/>
    </row>
    <row r="924" spans="1:13" ht="26.45" customHeight="1" x14ac:dyDescent="0.2">
      <c r="A924" s="712">
        <v>7</v>
      </c>
      <c r="B924" s="715"/>
      <c r="C924" s="715"/>
      <c r="D924" s="716"/>
      <c r="E924" s="719" t="s">
        <v>606</v>
      </c>
      <c r="F924" s="712" t="s">
        <v>1374</v>
      </c>
      <c r="G924" s="720" t="s">
        <v>19</v>
      </c>
      <c r="H924" s="718">
        <v>5</v>
      </c>
      <c r="I924" s="307" t="s">
        <v>64</v>
      </c>
      <c r="J924" s="788" t="s">
        <v>1375</v>
      </c>
      <c r="K924" s="788" t="s">
        <v>1376</v>
      </c>
      <c r="L924" s="789">
        <v>1</v>
      </c>
      <c r="M924" s="127" t="s">
        <v>222</v>
      </c>
    </row>
    <row r="925" spans="1:13" ht="12.75" customHeight="1" x14ac:dyDescent="0.2">
      <c r="A925" s="709">
        <v>7</v>
      </c>
      <c r="B925" s="715"/>
      <c r="C925" s="715"/>
      <c r="D925" s="716"/>
      <c r="E925" s="715"/>
      <c r="F925" s="712"/>
      <c r="G925" s="312" t="s">
        <v>247</v>
      </c>
      <c r="H925" s="220">
        <f>SUM(H921:H924)</f>
        <v>30</v>
      </c>
      <c r="I925" s="307"/>
      <c r="J925" s="155"/>
      <c r="K925" s="161"/>
      <c r="L925" s="45"/>
      <c r="M925" s="127"/>
    </row>
    <row r="926" spans="1:13" ht="26.45" customHeight="1" x14ac:dyDescent="0.2">
      <c r="A926" s="712">
        <v>7</v>
      </c>
      <c r="B926" s="715"/>
      <c r="C926" s="721" t="s">
        <v>1377</v>
      </c>
      <c r="D926" s="722" t="s">
        <v>1378</v>
      </c>
      <c r="E926" s="715" t="s">
        <v>1362</v>
      </c>
      <c r="F926" s="712" t="s">
        <v>1379</v>
      </c>
      <c r="G926" s="720" t="s">
        <v>403</v>
      </c>
      <c r="H926" s="718">
        <v>50</v>
      </c>
      <c r="I926" s="307" t="s">
        <v>64</v>
      </c>
      <c r="J926" s="788" t="s">
        <v>2127</v>
      </c>
      <c r="K926" s="788" t="s">
        <v>1380</v>
      </c>
      <c r="L926" s="789">
        <v>2</v>
      </c>
      <c r="M926" s="127"/>
    </row>
    <row r="927" spans="1:13" ht="12.75" customHeight="1" x14ac:dyDescent="0.2">
      <c r="A927" s="712">
        <v>7</v>
      </c>
      <c r="B927" s="715"/>
      <c r="C927" s="715"/>
      <c r="D927" s="716"/>
      <c r="E927" s="715"/>
      <c r="F927" s="712"/>
      <c r="G927" s="312" t="s">
        <v>247</v>
      </c>
      <c r="H927" s="220">
        <f>SUM(H926)</f>
        <v>50</v>
      </c>
      <c r="I927" s="307"/>
      <c r="J927" s="155"/>
      <c r="K927" s="161"/>
      <c r="L927" s="45"/>
      <c r="M927" s="127"/>
    </row>
    <row r="928" spans="1:13" ht="22.15" customHeight="1" x14ac:dyDescent="0.2">
      <c r="A928" s="712">
        <v>7</v>
      </c>
      <c r="B928" s="314"/>
      <c r="C928" s="314"/>
      <c r="D928" s="315" t="s">
        <v>1381</v>
      </c>
      <c r="E928" s="723"/>
      <c r="F928" s="314"/>
      <c r="G928" s="317"/>
      <c r="H928" s="318"/>
      <c r="I928" s="307"/>
      <c r="J928" s="155"/>
      <c r="K928" s="161"/>
      <c r="L928" s="45"/>
      <c r="M928" s="127"/>
    </row>
    <row r="929" spans="1:13" ht="18.600000000000001" customHeight="1" x14ac:dyDescent="0.2">
      <c r="A929" s="712">
        <v>7</v>
      </c>
      <c r="B929" s="308" t="s">
        <v>1382</v>
      </c>
      <c r="C929" s="308" t="s">
        <v>1382</v>
      </c>
      <c r="D929" s="313" t="s">
        <v>1383</v>
      </c>
      <c r="E929" s="713"/>
      <c r="F929" s="714"/>
      <c r="G929" s="382"/>
      <c r="H929" s="207"/>
      <c r="I929" s="307"/>
      <c r="J929" s="155"/>
      <c r="K929" s="161"/>
      <c r="L929" s="45"/>
      <c r="M929" s="128"/>
    </row>
    <row r="930" spans="1:13" ht="43.9" customHeight="1" x14ac:dyDescent="0.2">
      <c r="A930" s="712">
        <v>7</v>
      </c>
      <c r="B930" s="715"/>
      <c r="C930" s="724" t="s">
        <v>1384</v>
      </c>
      <c r="D930" s="225" t="s">
        <v>1385</v>
      </c>
      <c r="E930" s="422">
        <v>8</v>
      </c>
      <c r="F930" s="712" t="s">
        <v>1386</v>
      </c>
      <c r="G930" s="307" t="s">
        <v>19</v>
      </c>
      <c r="H930" s="725"/>
      <c r="I930" s="307"/>
      <c r="J930" s="788" t="s">
        <v>2127</v>
      </c>
      <c r="K930" s="791" t="s">
        <v>1387</v>
      </c>
      <c r="L930" s="789">
        <v>100</v>
      </c>
      <c r="M930" s="127"/>
    </row>
    <row r="931" spans="1:13" ht="12.75" customHeight="1" x14ac:dyDescent="0.2">
      <c r="A931" s="712">
        <v>7</v>
      </c>
      <c r="B931" s="715"/>
      <c r="C931" s="724"/>
      <c r="D931" s="726"/>
      <c r="E931" s="422"/>
      <c r="F931" s="712" t="s">
        <v>1386</v>
      </c>
      <c r="G931" s="312" t="s">
        <v>247</v>
      </c>
      <c r="H931" s="220">
        <f>SUM(H930:H930)</f>
        <v>0</v>
      </c>
      <c r="I931" s="307" t="s">
        <v>64</v>
      </c>
      <c r="J931" s="155"/>
      <c r="K931" s="161"/>
      <c r="L931" s="45"/>
      <c r="M931" s="127"/>
    </row>
    <row r="932" spans="1:13" ht="21" customHeight="1" x14ac:dyDescent="0.2">
      <c r="A932" s="712">
        <v>7</v>
      </c>
      <c r="B932" s="715"/>
      <c r="C932" s="715" t="s">
        <v>1395</v>
      </c>
      <c r="D932" s="727" t="s">
        <v>1396</v>
      </c>
      <c r="E932" s="307">
        <v>9</v>
      </c>
      <c r="F932" s="712" t="s">
        <v>1397</v>
      </c>
      <c r="G932" s="307" t="s">
        <v>19</v>
      </c>
      <c r="H932" s="725">
        <f>1518+1000-500-100-918-800+24.8</f>
        <v>224.8</v>
      </c>
      <c r="I932" s="307" t="s">
        <v>181</v>
      </c>
      <c r="J932" s="788" t="s">
        <v>2107</v>
      </c>
      <c r="K932" s="791" t="s">
        <v>1398</v>
      </c>
      <c r="L932" s="789">
        <v>100</v>
      </c>
      <c r="M932" s="127" t="s">
        <v>198</v>
      </c>
    </row>
    <row r="933" spans="1:13" ht="12.75" customHeight="1" x14ac:dyDescent="0.2">
      <c r="A933" s="712">
        <v>7</v>
      </c>
      <c r="B933" s="715"/>
      <c r="C933" s="715"/>
      <c r="D933" s="225"/>
      <c r="E933" s="307">
        <v>9</v>
      </c>
      <c r="F933" s="712" t="s">
        <v>1397</v>
      </c>
      <c r="G933" s="307" t="s">
        <v>177</v>
      </c>
      <c r="H933" s="725">
        <f>800-115.9</f>
        <v>684.1</v>
      </c>
      <c r="I933" s="307" t="s">
        <v>181</v>
      </c>
      <c r="J933" s="155"/>
      <c r="K933" s="161"/>
      <c r="L933" s="45"/>
      <c r="M933" s="127" t="s">
        <v>198</v>
      </c>
    </row>
    <row r="934" spans="1:13" ht="12.75" customHeight="1" x14ac:dyDescent="0.2">
      <c r="A934" s="709">
        <v>7</v>
      </c>
      <c r="B934" s="715"/>
      <c r="C934" s="715"/>
      <c r="D934" s="225"/>
      <c r="E934" s="307">
        <v>9</v>
      </c>
      <c r="F934" s="712" t="s">
        <v>1397</v>
      </c>
      <c r="G934" s="311" t="s">
        <v>424</v>
      </c>
      <c r="H934" s="725">
        <v>115.9</v>
      </c>
      <c r="I934" s="307"/>
      <c r="J934" s="155"/>
      <c r="K934" s="161"/>
      <c r="L934" s="45"/>
      <c r="M934" s="127"/>
    </row>
    <row r="935" spans="1:13" ht="12.75" customHeight="1" x14ac:dyDescent="0.2">
      <c r="A935" s="709">
        <v>7</v>
      </c>
      <c r="B935" s="715"/>
      <c r="C935" s="715"/>
      <c r="D935" s="225"/>
      <c r="E935" s="307"/>
      <c r="F935" s="712" t="s">
        <v>1397</v>
      </c>
      <c r="G935" s="312" t="s">
        <v>247</v>
      </c>
      <c r="H935" s="220">
        <f>SUM(H932:H934)</f>
        <v>1024.8000000000002</v>
      </c>
      <c r="I935" s="307"/>
      <c r="J935" s="155"/>
      <c r="K935" s="161"/>
      <c r="L935" s="45"/>
      <c r="M935" s="127"/>
    </row>
    <row r="936" spans="1:13" ht="22.5" x14ac:dyDescent="0.2">
      <c r="A936" s="712">
        <v>7</v>
      </c>
      <c r="B936" s="715"/>
      <c r="C936" s="715" t="s">
        <v>1399</v>
      </c>
      <c r="D936" s="727" t="s">
        <v>1400</v>
      </c>
      <c r="E936" s="307">
        <v>9</v>
      </c>
      <c r="F936" s="712" t="s">
        <v>1401</v>
      </c>
      <c r="G936" s="307" t="s">
        <v>19</v>
      </c>
      <c r="H936" s="725">
        <v>83.1</v>
      </c>
      <c r="I936" s="307" t="s">
        <v>196</v>
      </c>
      <c r="J936" s="792" t="s">
        <v>2027</v>
      </c>
      <c r="K936" s="161" t="s">
        <v>1402</v>
      </c>
      <c r="L936" s="45">
        <v>1</v>
      </c>
      <c r="M936" s="127" t="s">
        <v>67</v>
      </c>
    </row>
    <row r="937" spans="1:13" ht="12.75" customHeight="1" x14ac:dyDescent="0.2">
      <c r="A937" s="712">
        <v>7</v>
      </c>
      <c r="B937" s="715"/>
      <c r="C937" s="715"/>
      <c r="D937" s="728"/>
      <c r="E937" s="729"/>
      <c r="F937" s="712" t="s">
        <v>1401</v>
      </c>
      <c r="G937" s="312" t="s">
        <v>247</v>
      </c>
      <c r="H937" s="220">
        <f>SUM(H936:H936)</f>
        <v>83.1</v>
      </c>
      <c r="I937" s="421"/>
      <c r="J937" s="155"/>
      <c r="K937" s="161"/>
      <c r="L937" s="186"/>
      <c r="M937" s="127"/>
    </row>
    <row r="938" spans="1:13" ht="28.15" customHeight="1" x14ac:dyDescent="0.2">
      <c r="A938" s="712">
        <v>7</v>
      </c>
      <c r="B938" s="715"/>
      <c r="C938" s="715" t="s">
        <v>1403</v>
      </c>
      <c r="D938" s="727" t="s">
        <v>1404</v>
      </c>
      <c r="E938" s="307">
        <v>9</v>
      </c>
      <c r="F938" s="712" t="s">
        <v>1405</v>
      </c>
      <c r="G938" s="307" t="s">
        <v>19</v>
      </c>
      <c r="H938" s="725">
        <v>200</v>
      </c>
      <c r="I938" s="421" t="s">
        <v>196</v>
      </c>
      <c r="J938" s="790" t="s">
        <v>2028</v>
      </c>
      <c r="K938" s="163" t="s">
        <v>1406</v>
      </c>
      <c r="L938" s="186">
        <v>1</v>
      </c>
      <c r="M938" s="127" t="s">
        <v>223</v>
      </c>
    </row>
    <row r="939" spans="1:13" ht="12.75" customHeight="1" x14ac:dyDescent="0.2">
      <c r="A939" s="712">
        <v>7</v>
      </c>
      <c r="B939" s="715"/>
      <c r="C939" s="715"/>
      <c r="D939" s="728"/>
      <c r="E939" s="730"/>
      <c r="F939" s="712"/>
      <c r="G939" s="312" t="s">
        <v>247</v>
      </c>
      <c r="H939" s="220">
        <f>SUM(H938:H938)</f>
        <v>200</v>
      </c>
      <c r="I939" s="307"/>
      <c r="J939" s="155"/>
      <c r="K939" s="161"/>
      <c r="L939" s="45"/>
      <c r="M939" s="127"/>
    </row>
    <row r="940" spans="1:13" ht="22.5" x14ac:dyDescent="0.2">
      <c r="A940" s="712">
        <v>7</v>
      </c>
      <c r="B940" s="715"/>
      <c r="C940" s="715" t="s">
        <v>1407</v>
      </c>
      <c r="D940" s="731" t="s">
        <v>1408</v>
      </c>
      <c r="E940" s="733">
        <v>9</v>
      </c>
      <c r="F940" s="733" t="s">
        <v>1409</v>
      </c>
      <c r="G940" s="734" t="s">
        <v>19</v>
      </c>
      <c r="H940" s="735">
        <f>110+114</f>
        <v>224</v>
      </c>
      <c r="I940" s="307" t="s">
        <v>196</v>
      </c>
      <c r="J940" s="793" t="s">
        <v>2027</v>
      </c>
      <c r="K940" s="791" t="s">
        <v>1410</v>
      </c>
      <c r="L940" s="45">
        <v>1</v>
      </c>
      <c r="M940" s="127" t="s">
        <v>222</v>
      </c>
    </row>
    <row r="941" spans="1:13" ht="12.75" customHeight="1" x14ac:dyDescent="0.2">
      <c r="A941" s="712">
        <v>7</v>
      </c>
      <c r="B941" s="715"/>
      <c r="C941" s="715"/>
      <c r="D941" s="225"/>
      <c r="E941" s="730"/>
      <c r="F941" s="712"/>
      <c r="G941" s="312" t="s">
        <v>247</v>
      </c>
      <c r="H941" s="220">
        <f>SUM(H940)</f>
        <v>224</v>
      </c>
      <c r="I941" s="307"/>
      <c r="J941" s="155"/>
      <c r="K941" s="161"/>
      <c r="L941" s="45"/>
      <c r="M941" s="127"/>
    </row>
    <row r="942" spans="1:13" ht="37.9" customHeight="1" x14ac:dyDescent="0.2">
      <c r="A942" s="712">
        <v>7</v>
      </c>
      <c r="B942" s="314"/>
      <c r="C942" s="314"/>
      <c r="D942" s="315" t="s">
        <v>1412</v>
      </c>
      <c r="E942" s="723"/>
      <c r="F942" s="314"/>
      <c r="G942" s="317"/>
      <c r="H942" s="318">
        <f>SUM(H937)</f>
        <v>83.1</v>
      </c>
      <c r="I942" s="307"/>
      <c r="J942" s="155"/>
      <c r="K942" s="161"/>
      <c r="L942" s="45"/>
      <c r="M942" s="127"/>
    </row>
    <row r="943" spans="1:13" ht="21" customHeight="1" x14ac:dyDescent="0.2">
      <c r="A943" s="712">
        <v>7</v>
      </c>
      <c r="B943" s="308" t="s">
        <v>1413</v>
      </c>
      <c r="C943" s="308" t="s">
        <v>1413</v>
      </c>
      <c r="D943" s="313" t="s">
        <v>1414</v>
      </c>
      <c r="E943" s="712">
        <v>8</v>
      </c>
      <c r="F943" s="712" t="s">
        <v>1415</v>
      </c>
      <c r="G943" s="712" t="s">
        <v>19</v>
      </c>
      <c r="H943" s="717">
        <v>65</v>
      </c>
      <c r="I943" s="307" t="s">
        <v>64</v>
      </c>
      <c r="J943" s="788" t="s">
        <v>1939</v>
      </c>
      <c r="K943" s="791" t="s">
        <v>1416</v>
      </c>
      <c r="L943" s="789">
        <v>24</v>
      </c>
      <c r="M943" s="127"/>
    </row>
    <row r="944" spans="1:13" ht="12.75" customHeight="1" x14ac:dyDescent="0.2">
      <c r="A944" s="712">
        <v>7</v>
      </c>
      <c r="B944" s="715"/>
      <c r="C944" s="715"/>
      <c r="D944" s="716"/>
      <c r="E944" s="712"/>
      <c r="F944" s="712" t="s">
        <v>1415</v>
      </c>
      <c r="G944" s="312" t="s">
        <v>247</v>
      </c>
      <c r="H944" s="220">
        <f>SUM(H943)</f>
        <v>65</v>
      </c>
      <c r="I944" s="307"/>
      <c r="J944" s="788"/>
      <c r="K944" s="791"/>
      <c r="L944" s="789"/>
      <c r="M944" s="127"/>
    </row>
    <row r="945" spans="1:13" ht="33.6" customHeight="1" x14ac:dyDescent="0.2">
      <c r="A945" s="712">
        <v>7</v>
      </c>
      <c r="B945" s="308" t="s">
        <v>1417</v>
      </c>
      <c r="C945" s="308" t="s">
        <v>1417</v>
      </c>
      <c r="D945" s="313" t="s">
        <v>1418</v>
      </c>
      <c r="E945" s="712">
        <v>8</v>
      </c>
      <c r="F945" s="712" t="s">
        <v>1419</v>
      </c>
      <c r="G945" s="712" t="s">
        <v>19</v>
      </c>
      <c r="H945" s="717">
        <v>4.5</v>
      </c>
      <c r="I945" s="307" t="s">
        <v>64</v>
      </c>
      <c r="J945" s="788" t="s">
        <v>2128</v>
      </c>
      <c r="K945" s="791" t="s">
        <v>1420</v>
      </c>
      <c r="L945" s="789">
        <v>5</v>
      </c>
      <c r="M945" s="127"/>
    </row>
    <row r="946" spans="1:13" ht="13.15" customHeight="1" x14ac:dyDescent="0.2">
      <c r="A946" s="709">
        <v>7</v>
      </c>
      <c r="B946" s="384"/>
      <c r="C946" s="384"/>
      <c r="D946" s="245"/>
      <c r="E946" s="712"/>
      <c r="F946" s="712" t="s">
        <v>1419</v>
      </c>
      <c r="G946" s="312" t="s">
        <v>247</v>
      </c>
      <c r="H946" s="220">
        <f>H945</f>
        <v>4.5</v>
      </c>
      <c r="I946" s="307"/>
      <c r="J946" s="155"/>
      <c r="K946" s="161"/>
      <c r="L946" s="45"/>
      <c r="M946" s="127"/>
    </row>
    <row r="947" spans="1:13" ht="30" customHeight="1" x14ac:dyDescent="0.2">
      <c r="A947" s="712">
        <v>7</v>
      </c>
      <c r="B947" s="314"/>
      <c r="C947" s="314"/>
      <c r="D947" s="315" t="s">
        <v>1421</v>
      </c>
      <c r="E947" s="723"/>
      <c r="F947" s="314"/>
      <c r="G947" s="317"/>
      <c r="H947" s="318">
        <f>SUM(H945)</f>
        <v>4.5</v>
      </c>
      <c r="I947" s="307"/>
      <c r="J947" s="155"/>
      <c r="K947" s="161"/>
      <c r="L947" s="45"/>
      <c r="M947" s="129"/>
    </row>
    <row r="948" spans="1:13" ht="12.75" customHeight="1" x14ac:dyDescent="0.2">
      <c r="A948" s="712">
        <v>7</v>
      </c>
      <c r="B948" s="308" t="s">
        <v>1422</v>
      </c>
      <c r="C948" s="308" t="s">
        <v>1422</v>
      </c>
      <c r="D948" s="736" t="s">
        <v>1423</v>
      </c>
      <c r="E948" s="712"/>
      <c r="F948" s="712"/>
      <c r="G948" s="210"/>
      <c r="H948" s="207"/>
      <c r="I948" s="307"/>
      <c r="J948" s="155"/>
      <c r="K948" s="161"/>
      <c r="L948" s="45"/>
      <c r="M948" s="130"/>
    </row>
    <row r="949" spans="1:13" ht="12.75" customHeight="1" x14ac:dyDescent="0.2">
      <c r="A949" s="712">
        <v>7</v>
      </c>
      <c r="B949" s="715"/>
      <c r="C949" s="715" t="s">
        <v>1424</v>
      </c>
      <c r="D949" s="321" t="s">
        <v>1425</v>
      </c>
      <c r="E949" s="712">
        <v>2</v>
      </c>
      <c r="F949" s="712" t="s">
        <v>1426</v>
      </c>
      <c r="G949" s="720"/>
      <c r="H949" s="717"/>
      <c r="I949" s="307"/>
      <c r="J949" s="155"/>
      <c r="K949" s="187"/>
      <c r="L949" s="188"/>
      <c r="M949" s="189"/>
    </row>
    <row r="950" spans="1:13" ht="21.6" customHeight="1" x14ac:dyDescent="0.25">
      <c r="A950" s="712">
        <v>7</v>
      </c>
      <c r="B950" s="715"/>
      <c r="C950" s="721" t="s">
        <v>1427</v>
      </c>
      <c r="D950" s="722" t="s">
        <v>1428</v>
      </c>
      <c r="E950" s="712">
        <v>2</v>
      </c>
      <c r="F950" s="712" t="s">
        <v>1426</v>
      </c>
      <c r="G950" s="712" t="s">
        <v>19</v>
      </c>
      <c r="H950" s="737">
        <v>53.8</v>
      </c>
      <c r="I950" s="307" t="s">
        <v>64</v>
      </c>
      <c r="J950" s="794" t="s">
        <v>2129</v>
      </c>
      <c r="K950" s="794" t="s">
        <v>1429</v>
      </c>
      <c r="L950" s="789">
        <v>8</v>
      </c>
      <c r="M950" s="192"/>
    </row>
    <row r="951" spans="1:13" ht="26.45" customHeight="1" x14ac:dyDescent="0.25">
      <c r="A951" s="712">
        <v>7</v>
      </c>
      <c r="B951" s="715"/>
      <c r="C951" s="721" t="s">
        <v>1430</v>
      </c>
      <c r="D951" s="722" t="s">
        <v>1431</v>
      </c>
      <c r="E951" s="712">
        <v>2</v>
      </c>
      <c r="F951" s="712" t="s">
        <v>1426</v>
      </c>
      <c r="G951" s="712" t="s">
        <v>403</v>
      </c>
      <c r="H951" s="737">
        <v>5</v>
      </c>
      <c r="I951" s="307" t="s">
        <v>64</v>
      </c>
      <c r="J951" s="794" t="s">
        <v>2129</v>
      </c>
      <c r="K951" s="794" t="s">
        <v>1432</v>
      </c>
      <c r="L951" s="789">
        <v>10</v>
      </c>
      <c r="M951" s="192"/>
    </row>
    <row r="952" spans="1:13" ht="12.75" customHeight="1" x14ac:dyDescent="0.25">
      <c r="A952" s="712">
        <v>7</v>
      </c>
      <c r="B952" s="715"/>
      <c r="C952" s="715"/>
      <c r="D952" s="738"/>
      <c r="E952" s="712"/>
      <c r="F952" s="712" t="s">
        <v>1426</v>
      </c>
      <c r="G952" s="312" t="s">
        <v>247</v>
      </c>
      <c r="H952" s="220">
        <f>SUM(H950,H951)</f>
        <v>58.8</v>
      </c>
      <c r="I952" s="307"/>
      <c r="J952" s="155"/>
      <c r="K952" s="185"/>
      <c r="L952" s="190"/>
      <c r="M952" s="191"/>
    </row>
    <row r="953" spans="1:13" ht="24" customHeight="1" x14ac:dyDescent="0.25">
      <c r="A953" s="712">
        <v>7</v>
      </c>
      <c r="B953" s="715"/>
      <c r="C953" s="715" t="s">
        <v>1433</v>
      </c>
      <c r="D953" s="321" t="s">
        <v>1434</v>
      </c>
      <c r="E953" s="712"/>
      <c r="F953" s="712"/>
      <c r="G953" s="720"/>
      <c r="H953" s="739"/>
      <c r="I953" s="307"/>
      <c r="J953" s="155"/>
      <c r="K953" s="161"/>
      <c r="L953" s="45"/>
      <c r="M953" s="132"/>
    </row>
    <row r="954" spans="1:13" ht="33" customHeight="1" x14ac:dyDescent="0.2">
      <c r="A954" s="712">
        <v>7</v>
      </c>
      <c r="B954" s="715"/>
      <c r="C954" s="715" t="s">
        <v>1435</v>
      </c>
      <c r="D954" s="487" t="s">
        <v>1436</v>
      </c>
      <c r="E954" s="712">
        <v>2</v>
      </c>
      <c r="F954" s="712" t="s">
        <v>1437</v>
      </c>
      <c r="G954" s="712" t="s">
        <v>19</v>
      </c>
      <c r="H954" s="717"/>
      <c r="I954" s="307" t="s">
        <v>181</v>
      </c>
      <c r="J954" s="794" t="s">
        <v>2129</v>
      </c>
      <c r="K954" s="795"/>
      <c r="L954" s="796">
        <v>0</v>
      </c>
      <c r="M954" s="133" t="s">
        <v>190</v>
      </c>
    </row>
    <row r="955" spans="1:13" ht="12.75" customHeight="1" x14ac:dyDescent="0.25">
      <c r="A955" s="712">
        <v>7</v>
      </c>
      <c r="B955" s="715"/>
      <c r="C955" s="715" t="s">
        <v>1435</v>
      </c>
      <c r="D955" s="740"/>
      <c r="E955" s="712">
        <v>2</v>
      </c>
      <c r="F955" s="712" t="s">
        <v>1437</v>
      </c>
      <c r="G955" s="712" t="s">
        <v>1344</v>
      </c>
      <c r="H955" s="294"/>
      <c r="I955" s="307" t="s">
        <v>181</v>
      </c>
      <c r="J955" s="794"/>
      <c r="K955" s="795"/>
      <c r="L955" s="796"/>
      <c r="M955" s="133" t="s">
        <v>190</v>
      </c>
    </row>
    <row r="956" spans="1:13" ht="32.25" customHeight="1" x14ac:dyDescent="0.2">
      <c r="A956" s="709">
        <v>7</v>
      </c>
      <c r="B956" s="715"/>
      <c r="C956" s="715" t="s">
        <v>1438</v>
      </c>
      <c r="D956" s="487" t="s">
        <v>1439</v>
      </c>
      <c r="E956" s="712">
        <v>2</v>
      </c>
      <c r="F956" s="712" t="s">
        <v>1437</v>
      </c>
      <c r="G956" s="210" t="s">
        <v>19</v>
      </c>
      <c r="H956" s="717">
        <f>190-90+20</f>
        <v>120</v>
      </c>
      <c r="I956" s="307" t="s">
        <v>58</v>
      </c>
      <c r="J956" s="794" t="s">
        <v>2129</v>
      </c>
      <c r="K956" s="795" t="s">
        <v>1440</v>
      </c>
      <c r="L956" s="796">
        <v>1</v>
      </c>
      <c r="M956" s="133" t="s">
        <v>222</v>
      </c>
    </row>
    <row r="957" spans="1:13" ht="27" customHeight="1" x14ac:dyDescent="0.2">
      <c r="A957" s="712">
        <v>7</v>
      </c>
      <c r="B957" s="715"/>
      <c r="C957" s="715" t="s">
        <v>1441</v>
      </c>
      <c r="D957" s="414" t="s">
        <v>1442</v>
      </c>
      <c r="E957" s="712">
        <v>29</v>
      </c>
      <c r="F957" s="712" t="s">
        <v>1443</v>
      </c>
      <c r="G957" s="712" t="s">
        <v>19</v>
      </c>
      <c r="H957" s="717">
        <f>12-12</f>
        <v>0</v>
      </c>
      <c r="I957" s="307" t="s">
        <v>58</v>
      </c>
      <c r="J957" s="794" t="s">
        <v>1204</v>
      </c>
      <c r="K957" s="795" t="s">
        <v>467</v>
      </c>
      <c r="L957" s="796">
        <v>1</v>
      </c>
      <c r="M957" s="133" t="s">
        <v>222</v>
      </c>
    </row>
    <row r="958" spans="1:13" ht="24" customHeight="1" x14ac:dyDescent="0.2">
      <c r="A958" s="712">
        <v>7</v>
      </c>
      <c r="B958" s="715"/>
      <c r="C958" s="715" t="s">
        <v>1444</v>
      </c>
      <c r="D958" s="414" t="s">
        <v>1445</v>
      </c>
      <c r="E958" s="712">
        <v>26</v>
      </c>
      <c r="F958" s="712" t="s">
        <v>1446</v>
      </c>
      <c r="G958" s="210" t="s">
        <v>19</v>
      </c>
      <c r="H958" s="294">
        <v>30</v>
      </c>
      <c r="I958" s="307" t="s">
        <v>196</v>
      </c>
      <c r="J958" s="794" t="s">
        <v>965</v>
      </c>
      <c r="K958" s="795" t="s">
        <v>1447</v>
      </c>
      <c r="L958" s="797">
        <v>1</v>
      </c>
      <c r="M958" s="133" t="s">
        <v>190</v>
      </c>
    </row>
    <row r="959" spans="1:13" ht="23.45" customHeight="1" x14ac:dyDescent="0.2">
      <c r="A959" s="712">
        <v>7</v>
      </c>
      <c r="B959" s="715"/>
      <c r="C959" s="715" t="s">
        <v>1448</v>
      </c>
      <c r="D959" s="1010" t="s">
        <v>1449</v>
      </c>
      <c r="E959" s="712">
        <v>2</v>
      </c>
      <c r="F959" s="712" t="s">
        <v>1437</v>
      </c>
      <c r="G959" s="210" t="s">
        <v>19</v>
      </c>
      <c r="H959" s="741">
        <f>20-20</f>
        <v>0</v>
      </c>
      <c r="I959" s="307" t="s">
        <v>196</v>
      </c>
      <c r="J959" s="794" t="s">
        <v>2129</v>
      </c>
      <c r="K959" s="798" t="s">
        <v>1450</v>
      </c>
      <c r="L959" s="796">
        <v>1</v>
      </c>
      <c r="M959" s="133" t="s">
        <v>67</v>
      </c>
    </row>
    <row r="960" spans="1:13" ht="12.75" customHeight="1" x14ac:dyDescent="0.2">
      <c r="A960" s="712">
        <v>7</v>
      </c>
      <c r="B960" s="715"/>
      <c r="C960" s="715"/>
      <c r="D960" s="1012"/>
      <c r="E960" s="712"/>
      <c r="F960" s="712" t="s">
        <v>1437</v>
      </c>
      <c r="G960" s="712" t="s">
        <v>1344</v>
      </c>
      <c r="H960" s="741">
        <f>24.2-24.2</f>
        <v>0</v>
      </c>
      <c r="I960" s="307"/>
      <c r="J960" s="794"/>
      <c r="K960" s="795"/>
      <c r="L960" s="796"/>
      <c r="M960" s="133"/>
    </row>
    <row r="961" spans="1:13" ht="24" customHeight="1" x14ac:dyDescent="0.2">
      <c r="A961" s="712">
        <v>7</v>
      </c>
      <c r="B961" s="721"/>
      <c r="C961" s="326" t="s">
        <v>1451</v>
      </c>
      <c r="D961" s="1021" t="s">
        <v>1452</v>
      </c>
      <c r="E961" s="712">
        <v>2</v>
      </c>
      <c r="F961" s="712" t="s">
        <v>1437</v>
      </c>
      <c r="G961" s="210" t="s">
        <v>19</v>
      </c>
      <c r="H961" s="718">
        <f>10-10</f>
        <v>0</v>
      </c>
      <c r="I961" s="307" t="s">
        <v>58</v>
      </c>
      <c r="J961" s="794" t="s">
        <v>2129</v>
      </c>
      <c r="K961" s="791" t="s">
        <v>1453</v>
      </c>
      <c r="L961" s="796">
        <v>1</v>
      </c>
      <c r="M961" s="134" t="s">
        <v>187</v>
      </c>
    </row>
    <row r="962" spans="1:13" ht="12.75" customHeight="1" x14ac:dyDescent="0.2">
      <c r="A962" s="712">
        <v>7</v>
      </c>
      <c r="B962" s="721"/>
      <c r="C962" s="326"/>
      <c r="D962" s="1023"/>
      <c r="E962" s="712">
        <v>2</v>
      </c>
      <c r="F962" s="712" t="s">
        <v>1437</v>
      </c>
      <c r="G962" s="712" t="s">
        <v>1344</v>
      </c>
      <c r="H962" s="718">
        <f>55.2-55.2</f>
        <v>0</v>
      </c>
      <c r="I962" s="307"/>
      <c r="J962" s="155"/>
      <c r="K962" s="161"/>
      <c r="L962" s="45"/>
      <c r="M962" s="134"/>
    </row>
    <row r="963" spans="1:13" ht="12.75" customHeight="1" x14ac:dyDescent="0.25">
      <c r="A963" s="712">
        <v>7</v>
      </c>
      <c r="B963" s="715"/>
      <c r="C963" s="715"/>
      <c r="D963" s="414"/>
      <c r="E963" s="712"/>
      <c r="F963" s="712" t="s">
        <v>1437</v>
      </c>
      <c r="G963" s="312" t="s">
        <v>247</v>
      </c>
      <c r="H963" s="220">
        <f>SUM(H954:H962)</f>
        <v>150</v>
      </c>
      <c r="I963" s="307"/>
      <c r="J963" s="155"/>
      <c r="K963" s="161"/>
      <c r="L963" s="45"/>
      <c r="M963" s="135"/>
    </row>
    <row r="964" spans="1:13" ht="20.25" customHeight="1" x14ac:dyDescent="0.2">
      <c r="A964" s="712">
        <v>7</v>
      </c>
      <c r="B964" s="715"/>
      <c r="C964" s="715" t="s">
        <v>1454</v>
      </c>
      <c r="D964" s="321" t="s">
        <v>1455</v>
      </c>
      <c r="E964" s="742">
        <v>2</v>
      </c>
      <c r="F964" s="712" t="s">
        <v>1456</v>
      </c>
      <c r="G964" s="712" t="s">
        <v>19</v>
      </c>
      <c r="H964" s="717">
        <f>150+4.6</f>
        <v>154.6</v>
      </c>
      <c r="I964" s="307" t="s">
        <v>64</v>
      </c>
      <c r="J964" s="794" t="s">
        <v>2129</v>
      </c>
      <c r="K964" s="791" t="s">
        <v>1457</v>
      </c>
      <c r="L964" s="789">
        <v>6</v>
      </c>
      <c r="M964" s="127"/>
    </row>
    <row r="965" spans="1:13" ht="12.75" customHeight="1" x14ac:dyDescent="0.2">
      <c r="A965" s="712">
        <v>7</v>
      </c>
      <c r="B965" s="715"/>
      <c r="C965" s="715"/>
      <c r="D965" s="716"/>
      <c r="E965" s="712"/>
      <c r="F965" s="712" t="s">
        <v>1456</v>
      </c>
      <c r="G965" s="312" t="s">
        <v>247</v>
      </c>
      <c r="H965" s="220">
        <f>SUM(H964)</f>
        <v>154.6</v>
      </c>
      <c r="I965" s="307"/>
      <c r="J965" s="155"/>
      <c r="K965" s="161"/>
      <c r="L965" s="188"/>
      <c r="M965" s="129"/>
    </row>
    <row r="966" spans="1:13" ht="27.75" customHeight="1" x14ac:dyDescent="0.2">
      <c r="A966" s="712">
        <v>7</v>
      </c>
      <c r="B966" s="715"/>
      <c r="C966" s="715" t="s">
        <v>1458</v>
      </c>
      <c r="D966" s="321" t="s">
        <v>1459</v>
      </c>
      <c r="E966" s="742">
        <v>2</v>
      </c>
      <c r="F966" s="712" t="s">
        <v>1460</v>
      </c>
      <c r="G966" s="720"/>
      <c r="H966" s="737"/>
      <c r="I966" s="307"/>
      <c r="J966" s="794" t="s">
        <v>2129</v>
      </c>
      <c r="K966" s="799"/>
      <c r="L966" s="789"/>
      <c r="M966" s="193"/>
    </row>
    <row r="967" spans="1:13" ht="22.5" x14ac:dyDescent="0.2">
      <c r="A967" s="712">
        <v>7</v>
      </c>
      <c r="B967" s="715"/>
      <c r="C967" s="721" t="s">
        <v>1461</v>
      </c>
      <c r="D967" s="743" t="s">
        <v>1462</v>
      </c>
      <c r="E967" s="744">
        <v>2</v>
      </c>
      <c r="F967" s="745" t="s">
        <v>1460</v>
      </c>
      <c r="G967" s="745" t="s">
        <v>19</v>
      </c>
      <c r="H967" s="717">
        <f>139+12</f>
        <v>151</v>
      </c>
      <c r="I967" s="307" t="s">
        <v>196</v>
      </c>
      <c r="J967" s="794" t="s">
        <v>2129</v>
      </c>
      <c r="K967" s="800" t="s">
        <v>1463</v>
      </c>
      <c r="L967" s="789">
        <v>70</v>
      </c>
      <c r="M967" s="194" t="s">
        <v>198</v>
      </c>
    </row>
    <row r="968" spans="1:13" ht="30.6" customHeight="1" x14ac:dyDescent="0.2">
      <c r="A968" s="712">
        <v>7</v>
      </c>
      <c r="B968" s="715"/>
      <c r="C968" s="721" t="s">
        <v>1464</v>
      </c>
      <c r="D968" s="743" t="s">
        <v>1465</v>
      </c>
      <c r="E968" s="744">
        <v>2</v>
      </c>
      <c r="F968" s="745" t="s">
        <v>1460</v>
      </c>
      <c r="G968" s="745" t="s">
        <v>19</v>
      </c>
      <c r="H968" s="717">
        <f>70-50+11.5</f>
        <v>31.5</v>
      </c>
      <c r="I968" s="307" t="s">
        <v>196</v>
      </c>
      <c r="J968" s="794" t="s">
        <v>2129</v>
      </c>
      <c r="K968" s="791" t="s">
        <v>1466</v>
      </c>
      <c r="L968" s="789">
        <v>1</v>
      </c>
      <c r="M968" s="195" t="s">
        <v>183</v>
      </c>
    </row>
    <row r="969" spans="1:13" ht="12.75" customHeight="1" x14ac:dyDescent="0.2">
      <c r="A969" s="712">
        <v>7</v>
      </c>
      <c r="B969" s="715"/>
      <c r="C969" s="715"/>
      <c r="D969" s="462"/>
      <c r="E969" s="742"/>
      <c r="F969" s="712" t="s">
        <v>1460</v>
      </c>
      <c r="G969" s="312" t="s">
        <v>247</v>
      </c>
      <c r="H969" s="220">
        <f>SUM(H967:H967,H968)</f>
        <v>182.5</v>
      </c>
      <c r="I969" s="307"/>
      <c r="J969" s="155"/>
      <c r="K969" s="161"/>
      <c r="L969" s="190"/>
      <c r="M969" s="136"/>
    </row>
    <row r="970" spans="1:13" ht="39.75" customHeight="1" x14ac:dyDescent="0.25">
      <c r="A970" s="712">
        <v>7</v>
      </c>
      <c r="B970" s="746"/>
      <c r="C970" s="746" t="s">
        <v>1467</v>
      </c>
      <c r="D970" s="321" t="s">
        <v>1468</v>
      </c>
      <c r="E970" s="747">
        <v>2</v>
      </c>
      <c r="F970" s="747" t="s">
        <v>1469</v>
      </c>
      <c r="G970" s="747" t="s">
        <v>19</v>
      </c>
      <c r="H970" s="717"/>
      <c r="I970" s="307"/>
      <c r="J970" s="155"/>
      <c r="K970" s="161"/>
      <c r="L970" s="45"/>
      <c r="M970" s="131"/>
    </row>
    <row r="971" spans="1:13" ht="24.75" customHeight="1" x14ac:dyDescent="0.25">
      <c r="A971" s="712">
        <v>7</v>
      </c>
      <c r="B971" s="746"/>
      <c r="C971" s="746" t="s">
        <v>1470</v>
      </c>
      <c r="D971" s="748" t="s">
        <v>1471</v>
      </c>
      <c r="E971" s="747">
        <v>2</v>
      </c>
      <c r="F971" s="747" t="s">
        <v>1469</v>
      </c>
      <c r="G971" s="747" t="s">
        <v>19</v>
      </c>
      <c r="H971" s="717">
        <v>13</v>
      </c>
      <c r="I971" s="307" t="s">
        <v>49</v>
      </c>
      <c r="J971" s="794" t="s">
        <v>2129</v>
      </c>
      <c r="K971" s="795" t="s">
        <v>1472</v>
      </c>
      <c r="L971" s="801">
        <v>10</v>
      </c>
      <c r="M971" s="854"/>
    </row>
    <row r="972" spans="1:13" ht="20.25" customHeight="1" x14ac:dyDescent="0.25">
      <c r="A972" s="712">
        <v>7</v>
      </c>
      <c r="B972" s="746"/>
      <c r="C972" s="746" t="s">
        <v>1473</v>
      </c>
      <c r="D972" s="748" t="s">
        <v>1474</v>
      </c>
      <c r="E972" s="747">
        <v>2</v>
      </c>
      <c r="F972" s="747" t="s">
        <v>1469</v>
      </c>
      <c r="G972" s="747" t="s">
        <v>19</v>
      </c>
      <c r="H972" s="717">
        <v>4.7</v>
      </c>
      <c r="I972" s="307" t="s">
        <v>49</v>
      </c>
      <c r="J972" s="794" t="s">
        <v>2129</v>
      </c>
      <c r="K972" s="795" t="s">
        <v>1475</v>
      </c>
      <c r="L972" s="801">
        <v>6</v>
      </c>
      <c r="M972" s="854"/>
    </row>
    <row r="973" spans="1:13" ht="19.5" customHeight="1" x14ac:dyDescent="0.25">
      <c r="A973" s="709">
        <v>7</v>
      </c>
      <c r="B973" s="746"/>
      <c r="C973" s="746" t="s">
        <v>1476</v>
      </c>
      <c r="D973" s="748" t="s">
        <v>1477</v>
      </c>
      <c r="E973" s="747">
        <v>2</v>
      </c>
      <c r="F973" s="747" t="s">
        <v>1469</v>
      </c>
      <c r="G973" s="747" t="s">
        <v>19</v>
      </c>
      <c r="H973" s="717">
        <v>3</v>
      </c>
      <c r="I973" s="307" t="s">
        <v>49</v>
      </c>
      <c r="J973" s="794" t="s">
        <v>2129</v>
      </c>
      <c r="K973" s="800" t="s">
        <v>1478</v>
      </c>
      <c r="L973" s="801">
        <v>2</v>
      </c>
      <c r="M973" s="854"/>
    </row>
    <row r="974" spans="1:13" ht="16.5" customHeight="1" x14ac:dyDescent="0.2">
      <c r="A974" s="712">
        <v>7</v>
      </c>
      <c r="B974" s="746"/>
      <c r="C974" s="746" t="s">
        <v>1479</v>
      </c>
      <c r="D974" s="749" t="s">
        <v>1480</v>
      </c>
      <c r="E974" s="747">
        <v>2</v>
      </c>
      <c r="F974" s="747" t="s">
        <v>1469</v>
      </c>
      <c r="G974" s="747" t="s">
        <v>19</v>
      </c>
      <c r="H974" s="717">
        <v>6.7</v>
      </c>
      <c r="I974" s="307" t="s">
        <v>58</v>
      </c>
      <c r="J974" s="794" t="s">
        <v>2129</v>
      </c>
      <c r="K974" s="795" t="s">
        <v>1481</v>
      </c>
      <c r="L974" s="801">
        <v>1</v>
      </c>
      <c r="M974" s="855" t="s">
        <v>223</v>
      </c>
    </row>
    <row r="975" spans="1:13" ht="30.75" customHeight="1" x14ac:dyDescent="0.2">
      <c r="A975" s="709">
        <v>7</v>
      </c>
      <c r="B975" s="746"/>
      <c r="C975" s="746" t="s">
        <v>2079</v>
      </c>
      <c r="D975" s="748" t="s">
        <v>2080</v>
      </c>
      <c r="E975" s="747">
        <v>2</v>
      </c>
      <c r="F975" s="747" t="s">
        <v>1469</v>
      </c>
      <c r="G975" s="958" t="s">
        <v>19</v>
      </c>
      <c r="H975" s="717">
        <v>2.5</v>
      </c>
      <c r="I975" s="307"/>
      <c r="J975" s="794" t="s">
        <v>2129</v>
      </c>
      <c r="K975" s="794"/>
      <c r="L975" s="857"/>
      <c r="M975" s="957"/>
    </row>
    <row r="976" spans="1:13" ht="16.5" customHeight="1" x14ac:dyDescent="0.2">
      <c r="A976" s="712">
        <v>7</v>
      </c>
      <c r="B976" s="746"/>
      <c r="C976" s="746" t="s">
        <v>2079</v>
      </c>
      <c r="D976" s="748"/>
      <c r="E976" s="747">
        <v>2</v>
      </c>
      <c r="F976" s="747" t="s">
        <v>1469</v>
      </c>
      <c r="G976" s="958" t="s">
        <v>1344</v>
      </c>
      <c r="H976" s="717">
        <v>22.5</v>
      </c>
      <c r="I976" s="307"/>
      <c r="J976" s="794" t="s">
        <v>2129</v>
      </c>
      <c r="K976" s="794"/>
      <c r="L976" s="857"/>
      <c r="M976" s="957"/>
    </row>
    <row r="977" spans="1:13" ht="21.75" customHeight="1" x14ac:dyDescent="0.25">
      <c r="A977" s="712">
        <v>7</v>
      </c>
      <c r="B977" s="746"/>
      <c r="C977" s="746" t="s">
        <v>1482</v>
      </c>
      <c r="D977" s="750" t="s">
        <v>1483</v>
      </c>
      <c r="E977" s="747">
        <v>2</v>
      </c>
      <c r="F977" s="747" t="s">
        <v>1469</v>
      </c>
      <c r="G977" s="747" t="s">
        <v>19</v>
      </c>
      <c r="H977" s="717">
        <v>5</v>
      </c>
      <c r="I977" s="307" t="s">
        <v>49</v>
      </c>
      <c r="J977" s="794" t="s">
        <v>2129</v>
      </c>
      <c r="K977" s="959"/>
      <c r="L977" s="857"/>
      <c r="M977" s="856"/>
    </row>
    <row r="978" spans="1:13" ht="12.75" customHeight="1" x14ac:dyDescent="0.25">
      <c r="A978" s="712">
        <v>7</v>
      </c>
      <c r="B978" s="746"/>
      <c r="C978" s="746"/>
      <c r="D978" s="462"/>
      <c r="E978" s="747"/>
      <c r="F978" s="747" t="s">
        <v>1469</v>
      </c>
      <c r="G978" s="312" t="s">
        <v>247</v>
      </c>
      <c r="H978" s="220">
        <f>H971+H972+H973+H974+H977+H975+H976</f>
        <v>57.4</v>
      </c>
      <c r="I978" s="307"/>
      <c r="J978" s="155"/>
      <c r="K978" s="161"/>
      <c r="L978" s="45"/>
      <c r="M978" s="135"/>
    </row>
    <row r="979" spans="1:13" ht="22.5" customHeight="1" x14ac:dyDescent="0.25">
      <c r="A979" s="712">
        <v>7</v>
      </c>
      <c r="B979" s="308" t="s">
        <v>1484</v>
      </c>
      <c r="C979" s="308" t="s">
        <v>1484</v>
      </c>
      <c r="D979" s="313" t="s">
        <v>1485</v>
      </c>
      <c r="E979" s="747"/>
      <c r="F979" s="712"/>
      <c r="G979" s="210"/>
      <c r="H979" s="751">
        <f>H984</f>
        <v>34</v>
      </c>
      <c r="I979" s="307"/>
      <c r="J979" s="155"/>
      <c r="K979" s="161"/>
      <c r="L979" s="45"/>
      <c r="M979" s="135"/>
    </row>
    <row r="980" spans="1:13" ht="30.75" customHeight="1" x14ac:dyDescent="0.2">
      <c r="A980" s="712">
        <v>7</v>
      </c>
      <c r="B980" s="715"/>
      <c r="C980" s="715" t="s">
        <v>1486</v>
      </c>
      <c r="D980" s="321" t="s">
        <v>1487</v>
      </c>
      <c r="E980" s="720">
        <v>2</v>
      </c>
      <c r="F980" s="712" t="s">
        <v>1488</v>
      </c>
      <c r="G980" s="212"/>
      <c r="H980" s="294"/>
      <c r="I980" s="307"/>
      <c r="J980" s="155"/>
      <c r="K980" s="161"/>
      <c r="L980" s="45"/>
      <c r="M980" s="137"/>
    </row>
    <row r="981" spans="1:13" ht="22.5" customHeight="1" x14ac:dyDescent="0.2">
      <c r="A981" s="712">
        <v>7</v>
      </c>
      <c r="B981" s="715"/>
      <c r="C981" s="715" t="s">
        <v>1489</v>
      </c>
      <c r="D981" s="251" t="s">
        <v>1490</v>
      </c>
      <c r="E981" s="720">
        <v>2</v>
      </c>
      <c r="F981" s="712" t="s">
        <v>1488</v>
      </c>
      <c r="G981" s="720" t="s">
        <v>19</v>
      </c>
      <c r="H981" s="717">
        <f>30-4</f>
        <v>26</v>
      </c>
      <c r="I981" s="307" t="s">
        <v>196</v>
      </c>
      <c r="J981" s="794" t="s">
        <v>2129</v>
      </c>
      <c r="K981" s="819" t="s">
        <v>1491</v>
      </c>
      <c r="L981" s="796">
        <v>100</v>
      </c>
      <c r="M981" s="127" t="s">
        <v>198</v>
      </c>
    </row>
    <row r="982" spans="1:13" ht="20.25" customHeight="1" x14ac:dyDescent="0.2">
      <c r="A982" s="709">
        <v>7</v>
      </c>
      <c r="B982" s="715"/>
      <c r="C982" s="715" t="s">
        <v>1492</v>
      </c>
      <c r="D982" s="251" t="s">
        <v>1493</v>
      </c>
      <c r="E982" s="720">
        <v>2</v>
      </c>
      <c r="F982" s="712" t="s">
        <v>1488</v>
      </c>
      <c r="G982" s="720" t="s">
        <v>19</v>
      </c>
      <c r="H982" s="717">
        <v>5</v>
      </c>
      <c r="I982" s="307" t="s">
        <v>58</v>
      </c>
      <c r="J982" s="794" t="s">
        <v>2129</v>
      </c>
      <c r="K982" s="794" t="s">
        <v>1494</v>
      </c>
      <c r="L982" s="796">
        <v>2</v>
      </c>
      <c r="M982" s="127"/>
    </row>
    <row r="983" spans="1:13" ht="22.5" customHeight="1" x14ac:dyDescent="0.2">
      <c r="A983" s="712">
        <v>7</v>
      </c>
      <c r="B983" s="715"/>
      <c r="C983" s="715" t="s">
        <v>1495</v>
      </c>
      <c r="D983" s="251" t="s">
        <v>1496</v>
      </c>
      <c r="E983" s="720">
        <v>28</v>
      </c>
      <c r="F983" s="720" t="s">
        <v>1497</v>
      </c>
      <c r="G983" s="720" t="s">
        <v>19</v>
      </c>
      <c r="H983" s="717">
        <v>3</v>
      </c>
      <c r="I983" s="307" t="s">
        <v>196</v>
      </c>
      <c r="J983" s="794" t="s">
        <v>2130</v>
      </c>
      <c r="K983" s="794" t="s">
        <v>1498</v>
      </c>
      <c r="L983" s="796">
        <v>1</v>
      </c>
      <c r="M983" s="127" t="s">
        <v>198</v>
      </c>
    </row>
    <row r="984" spans="1:13" ht="12.6" customHeight="1" x14ac:dyDescent="0.2">
      <c r="A984" s="712">
        <v>7</v>
      </c>
      <c r="B984" s="715"/>
      <c r="C984" s="715"/>
      <c r="D984" s="245"/>
      <c r="E984" s="720"/>
      <c r="F984" s="712"/>
      <c r="G984" s="312" t="s">
        <v>247</v>
      </c>
      <c r="H984" s="220">
        <f>SUM(H981:H983)</f>
        <v>34</v>
      </c>
      <c r="I984" s="307"/>
      <c r="J984" s="155"/>
      <c r="K984" s="161"/>
      <c r="L984" s="45"/>
      <c r="M984" s="127"/>
    </row>
    <row r="985" spans="1:13" ht="12.75" hidden="1" customHeight="1" x14ac:dyDescent="0.2">
      <c r="A985" s="712">
        <v>7</v>
      </c>
      <c r="B985" s="715"/>
      <c r="C985" s="715"/>
      <c r="D985" s="245"/>
      <c r="E985" s="720"/>
      <c r="F985" s="712"/>
      <c r="G985" s="299" t="s">
        <v>247</v>
      </c>
      <c r="H985" s="299">
        <f>SUM(H917,H920,H925,H931,H935,H937,H944,H946,H952,H963,H965,H969,H978,H984,H939,H941,H927)</f>
        <v>2608.6999999999998</v>
      </c>
      <c r="I985" s="307"/>
      <c r="J985" s="155"/>
      <c r="K985" s="161"/>
      <c r="L985" s="45"/>
      <c r="M985" s="133"/>
    </row>
    <row r="986" spans="1:13" ht="12.75" hidden="1" customHeight="1" x14ac:dyDescent="0.2">
      <c r="A986" s="712">
        <v>7</v>
      </c>
      <c r="B986" s="715"/>
      <c r="C986" s="715"/>
      <c r="D986" s="245"/>
      <c r="E986" s="720"/>
      <c r="F986" s="712"/>
      <c r="G986" s="210" t="s">
        <v>19</v>
      </c>
      <c r="H986" s="211">
        <f>SUM(H916,H919,H921,H930,H932,H936,H943,H945,H950:H951,H954,H956,H957,H958,H959,H964,H967:H968,H971:H974,H981:H983,H961,H938,H977:H977,H923,H922,H924,H926,H940,H975)</f>
        <v>1786.2</v>
      </c>
      <c r="I986" s="307"/>
      <c r="J986" s="155"/>
      <c r="K986" s="161"/>
      <c r="L986" s="45"/>
      <c r="M986" s="133"/>
    </row>
    <row r="987" spans="1:13" ht="12.75" hidden="1" customHeight="1" x14ac:dyDescent="0.2">
      <c r="A987" s="712">
        <v>7</v>
      </c>
      <c r="B987" s="715"/>
      <c r="C987" s="715"/>
      <c r="D987" s="245"/>
      <c r="E987" s="720"/>
      <c r="F987" s="712"/>
      <c r="G987" s="210" t="s">
        <v>22</v>
      </c>
      <c r="H987" s="211"/>
      <c r="I987" s="307"/>
      <c r="J987" s="155"/>
      <c r="K987" s="161"/>
      <c r="L987" s="45"/>
      <c r="M987" s="133"/>
    </row>
    <row r="988" spans="1:13" ht="12.75" hidden="1" customHeight="1" x14ac:dyDescent="0.2">
      <c r="A988" s="712">
        <v>7</v>
      </c>
      <c r="B988" s="715"/>
      <c r="C988" s="715"/>
      <c r="D988" s="245"/>
      <c r="E988" s="720"/>
      <c r="F988" s="712"/>
      <c r="G988" s="210" t="s">
        <v>56</v>
      </c>
      <c r="H988" s="211">
        <v>0</v>
      </c>
      <c r="I988" s="307"/>
      <c r="J988" s="155"/>
      <c r="K988" s="161"/>
      <c r="L988" s="45"/>
      <c r="M988" s="133"/>
    </row>
    <row r="989" spans="1:13" ht="12.75" hidden="1" customHeight="1" x14ac:dyDescent="0.2">
      <c r="A989" s="712">
        <v>7</v>
      </c>
      <c r="B989" s="715"/>
      <c r="C989" s="715"/>
      <c r="D989" s="245"/>
      <c r="E989" s="720"/>
      <c r="F989" s="712"/>
      <c r="G989" s="210" t="s">
        <v>177</v>
      </c>
      <c r="H989" s="211">
        <f>H933</f>
        <v>684.1</v>
      </c>
      <c r="I989" s="307"/>
      <c r="J989" s="155"/>
      <c r="K989" s="161"/>
      <c r="L989" s="45"/>
      <c r="M989" s="133"/>
    </row>
    <row r="990" spans="1:13" ht="12.75" hidden="1" customHeight="1" x14ac:dyDescent="0.2">
      <c r="A990" s="712">
        <v>7</v>
      </c>
      <c r="B990" s="715"/>
      <c r="C990" s="715"/>
      <c r="D990" s="245"/>
      <c r="E990" s="720"/>
      <c r="F990" s="712"/>
      <c r="G990" s="210" t="s">
        <v>59</v>
      </c>
      <c r="H990" s="211"/>
      <c r="I990" s="307"/>
      <c r="J990" s="155"/>
      <c r="K990" s="161"/>
      <c r="L990" s="45"/>
      <c r="M990" s="133"/>
    </row>
    <row r="991" spans="1:13" ht="12.75" hidden="1" customHeight="1" x14ac:dyDescent="0.2">
      <c r="A991" s="712">
        <v>7</v>
      </c>
      <c r="B991" s="715"/>
      <c r="C991" s="715"/>
      <c r="D991" s="245"/>
      <c r="E991" s="720"/>
      <c r="F991" s="712"/>
      <c r="G991" s="210" t="s">
        <v>21</v>
      </c>
      <c r="H991" s="211"/>
      <c r="I991" s="307"/>
      <c r="J991" s="155"/>
      <c r="K991" s="161"/>
      <c r="L991" s="45"/>
      <c r="M991" s="133"/>
    </row>
    <row r="992" spans="1:13" ht="12.75" hidden="1" customHeight="1" x14ac:dyDescent="0.2">
      <c r="A992" s="709">
        <v>7</v>
      </c>
      <c r="B992" s="715"/>
      <c r="C992" s="715"/>
      <c r="D992" s="245"/>
      <c r="E992" s="720"/>
      <c r="F992" s="712"/>
      <c r="G992" s="210" t="s">
        <v>1499</v>
      </c>
      <c r="H992" s="211"/>
      <c r="I992" s="307"/>
      <c r="J992" s="155"/>
      <c r="K992" s="161"/>
      <c r="L992" s="45"/>
      <c r="M992" s="133"/>
    </row>
    <row r="993" spans="1:13" ht="12.75" hidden="1" customHeight="1" x14ac:dyDescent="0.2">
      <c r="A993" s="712">
        <v>7</v>
      </c>
      <c r="B993" s="715"/>
      <c r="C993" s="715"/>
      <c r="D993" s="245"/>
      <c r="E993" s="720"/>
      <c r="F993" s="712"/>
      <c r="G993" s="210" t="s">
        <v>75</v>
      </c>
      <c r="H993" s="211"/>
      <c r="I993" s="307"/>
      <c r="J993" s="155"/>
      <c r="K993" s="161"/>
      <c r="L993" s="45"/>
      <c r="M993" s="133"/>
    </row>
    <row r="994" spans="1:13" ht="12.75" hidden="1" customHeight="1" x14ac:dyDescent="0.2">
      <c r="A994" s="712">
        <v>7</v>
      </c>
      <c r="B994" s="715"/>
      <c r="C994" s="715"/>
      <c r="D994" s="245"/>
      <c r="E994" s="720"/>
      <c r="F994" s="712"/>
      <c r="G994" s="210" t="s">
        <v>1344</v>
      </c>
      <c r="H994" s="211">
        <f>SUM(H976,H962,H960,H955)</f>
        <v>22.5</v>
      </c>
      <c r="I994" s="307"/>
      <c r="J994" s="155"/>
      <c r="K994" s="161"/>
      <c r="L994" s="45"/>
      <c r="M994" s="133"/>
    </row>
    <row r="995" spans="1:13" ht="12.75" hidden="1" customHeight="1" x14ac:dyDescent="0.2">
      <c r="A995" s="712">
        <v>7</v>
      </c>
      <c r="B995" s="715"/>
      <c r="C995" s="715"/>
      <c r="D995" s="245"/>
      <c r="E995" s="720"/>
      <c r="F995" s="712"/>
      <c r="G995" s="214" t="s">
        <v>1411</v>
      </c>
      <c r="H995" s="211">
        <v>0</v>
      </c>
      <c r="I995" s="307"/>
      <c r="J995" s="155"/>
      <c r="K995" s="161"/>
      <c r="L995" s="45"/>
      <c r="M995" s="133"/>
    </row>
    <row r="996" spans="1:13" ht="12.75" hidden="1" customHeight="1" x14ac:dyDescent="0.2">
      <c r="A996" s="712">
        <v>7</v>
      </c>
      <c r="B996" s="715"/>
      <c r="C996" s="715"/>
      <c r="D996" s="245"/>
      <c r="E996" s="720"/>
      <c r="F996" s="712"/>
      <c r="G996" s="214" t="s">
        <v>424</v>
      </c>
      <c r="H996" s="211">
        <f>H934</f>
        <v>115.9</v>
      </c>
      <c r="I996" s="307"/>
      <c r="J996" s="155"/>
      <c r="K996" s="161"/>
      <c r="L996" s="45"/>
      <c r="M996" s="133"/>
    </row>
    <row r="997" spans="1:13" ht="12.75" hidden="1" customHeight="1" x14ac:dyDescent="0.2">
      <c r="A997" s="712">
        <v>7</v>
      </c>
      <c r="B997" s="715"/>
      <c r="C997" s="715"/>
      <c r="D997" s="245"/>
      <c r="E997" s="720"/>
      <c r="F997" s="712"/>
      <c r="G997" s="299" t="s">
        <v>247</v>
      </c>
      <c r="H997" s="299">
        <f>SUM(H986:I996)</f>
        <v>2608.7000000000003</v>
      </c>
      <c r="I997" s="307"/>
      <c r="J997" s="155"/>
      <c r="K997" s="161"/>
      <c r="L997" s="45"/>
      <c r="M997" s="133"/>
    </row>
    <row r="998" spans="1:13" ht="12.75" hidden="1" customHeight="1" x14ac:dyDescent="0.2">
      <c r="A998" s="712">
        <v>7</v>
      </c>
      <c r="B998" s="715"/>
      <c r="C998" s="715"/>
      <c r="D998" s="245"/>
      <c r="E998" s="720"/>
      <c r="F998" s="712"/>
      <c r="G998" s="720"/>
      <c r="H998" s="211">
        <f>H985-H997</f>
        <v>0</v>
      </c>
      <c r="I998" s="307"/>
      <c r="J998" s="155"/>
      <c r="K998" s="161"/>
      <c r="L998" s="45"/>
      <c r="M998" s="133"/>
    </row>
    <row r="999" spans="1:13" ht="12.75" customHeight="1" x14ac:dyDescent="0.2">
      <c r="A999" s="934"/>
      <c r="B999" s="934"/>
      <c r="C999" s="934"/>
      <c r="D999" s="934" t="s">
        <v>2024</v>
      </c>
      <c r="E999" s="935"/>
      <c r="F999" s="934"/>
      <c r="G999" s="934"/>
      <c r="H999" s="934"/>
      <c r="I999" s="934"/>
      <c r="J999" s="934"/>
      <c r="K999" s="934"/>
      <c r="L999" s="934"/>
      <c r="M999" s="936"/>
    </row>
    <row r="1000" spans="1:13" ht="22.5" x14ac:dyDescent="0.2">
      <c r="A1000" s="752">
        <v>8</v>
      </c>
      <c r="B1000" s="303"/>
      <c r="C1000" s="303"/>
      <c r="D1000" s="304" t="s">
        <v>1500</v>
      </c>
      <c r="E1000" s="710"/>
      <c r="F1000" s="303"/>
      <c r="G1000" s="306"/>
      <c r="H1000" s="711"/>
      <c r="I1000" s="307"/>
      <c r="J1000" s="155"/>
      <c r="K1000" s="161"/>
      <c r="L1000" s="45"/>
      <c r="M1000" s="66"/>
    </row>
    <row r="1001" spans="1:13" ht="33.75" x14ac:dyDescent="0.2">
      <c r="A1001" s="752">
        <v>8</v>
      </c>
      <c r="B1001" s="384" t="s">
        <v>1502</v>
      </c>
      <c r="C1001" s="384" t="s">
        <v>1502</v>
      </c>
      <c r="D1001" s="753" t="s">
        <v>1503</v>
      </c>
      <c r="E1001" s="440" t="s">
        <v>47</v>
      </c>
      <c r="F1001" s="307" t="s">
        <v>1504</v>
      </c>
      <c r="G1001" s="307" t="s">
        <v>19</v>
      </c>
      <c r="H1001" s="219">
        <v>1280</v>
      </c>
      <c r="I1001" s="307" t="s">
        <v>49</v>
      </c>
      <c r="J1001" s="784" t="s">
        <v>1505</v>
      </c>
      <c r="K1001" s="784" t="s">
        <v>1506</v>
      </c>
      <c r="L1001" s="45">
        <v>29</v>
      </c>
      <c r="M1001" s="138"/>
    </row>
    <row r="1002" spans="1:13" ht="24" customHeight="1" x14ac:dyDescent="0.2">
      <c r="A1002" s="210">
        <v>8</v>
      </c>
      <c r="B1002" s="384"/>
      <c r="C1002" s="384"/>
      <c r="D1002" s="209"/>
      <c r="E1002" s="440" t="s">
        <v>47</v>
      </c>
      <c r="F1002" s="307" t="s">
        <v>1504</v>
      </c>
      <c r="G1002" s="210" t="s">
        <v>249</v>
      </c>
      <c r="H1002" s="219">
        <v>1161</v>
      </c>
      <c r="I1002" s="307"/>
      <c r="J1002" s="784" t="s">
        <v>1505</v>
      </c>
      <c r="K1002" s="784" t="s">
        <v>1507</v>
      </c>
      <c r="L1002" s="45">
        <v>92</v>
      </c>
      <c r="M1002" s="138"/>
    </row>
    <row r="1003" spans="1:13" x14ac:dyDescent="0.2">
      <c r="A1003" s="752">
        <v>8</v>
      </c>
      <c r="B1003" s="384"/>
      <c r="C1003" s="384"/>
      <c r="D1003" s="209"/>
      <c r="E1003" s="440"/>
      <c r="F1003" s="307"/>
      <c r="G1003" s="312" t="s">
        <v>247</v>
      </c>
      <c r="H1003" s="220">
        <f>SUM(H1001:H1002)</f>
        <v>2441</v>
      </c>
      <c r="I1003" s="307"/>
      <c r="J1003" s="860"/>
      <c r="K1003" s="784"/>
      <c r="L1003" s="45"/>
      <c r="M1003" s="138"/>
    </row>
    <row r="1004" spans="1:13" ht="30.6" customHeight="1" x14ac:dyDescent="0.2">
      <c r="A1004" s="752">
        <v>8</v>
      </c>
      <c r="B1004" s="384" t="s">
        <v>1508</v>
      </c>
      <c r="C1004" s="384" t="s">
        <v>1508</v>
      </c>
      <c r="D1004" s="753" t="s">
        <v>1509</v>
      </c>
      <c r="E1004" s="440" t="s">
        <v>1510</v>
      </c>
      <c r="F1004" s="210" t="s">
        <v>1511</v>
      </c>
      <c r="G1004" s="210" t="s">
        <v>19</v>
      </c>
      <c r="H1004" s="219">
        <v>494</v>
      </c>
      <c r="I1004" s="307" t="s">
        <v>49</v>
      </c>
      <c r="J1004" s="161" t="s">
        <v>2038</v>
      </c>
      <c r="K1004" s="161" t="s">
        <v>2040</v>
      </c>
      <c r="L1004" s="45">
        <v>1</v>
      </c>
      <c r="M1004" s="138"/>
    </row>
    <row r="1005" spans="1:13" x14ac:dyDescent="0.2">
      <c r="A1005" s="210">
        <v>8</v>
      </c>
      <c r="B1005" s="384"/>
      <c r="C1005" s="384"/>
      <c r="D1005" s="209"/>
      <c r="E1005" s="440" t="s">
        <v>1510</v>
      </c>
      <c r="F1005" s="210" t="s">
        <v>1511</v>
      </c>
      <c r="G1005" s="210" t="s">
        <v>249</v>
      </c>
      <c r="H1005" s="219">
        <v>30</v>
      </c>
      <c r="I1005" s="307"/>
      <c r="J1005" s="155"/>
      <c r="K1005" s="161"/>
      <c r="L1005" s="45"/>
      <c r="M1005" s="138"/>
    </row>
    <row r="1006" spans="1:13" x14ac:dyDescent="0.2">
      <c r="A1006" s="210">
        <v>8</v>
      </c>
      <c r="B1006" s="384"/>
      <c r="C1006" s="384"/>
      <c r="D1006" s="209"/>
      <c r="E1006" s="440"/>
      <c r="F1006" s="210"/>
      <c r="G1006" s="312" t="s">
        <v>247</v>
      </c>
      <c r="H1006" s="220">
        <f>SUM(H1004:H1005)</f>
        <v>524</v>
      </c>
      <c r="I1006" s="307"/>
      <c r="J1006" s="155"/>
      <c r="K1006" s="161"/>
      <c r="L1006" s="45"/>
      <c r="M1006" s="138"/>
    </row>
    <row r="1007" spans="1:13" ht="22.5" x14ac:dyDescent="0.2">
      <c r="A1007" s="210">
        <v>8</v>
      </c>
      <c r="B1007" s="384" t="s">
        <v>1512</v>
      </c>
      <c r="C1007" s="384" t="s">
        <v>1512</v>
      </c>
      <c r="D1007" s="753" t="s">
        <v>1513</v>
      </c>
      <c r="E1007" s="440" t="s">
        <v>1514</v>
      </c>
      <c r="F1007" s="210" t="s">
        <v>1515</v>
      </c>
      <c r="G1007" s="210" t="s">
        <v>19</v>
      </c>
      <c r="H1007" s="219">
        <f>48.2</f>
        <v>48.2</v>
      </c>
      <c r="I1007" s="307" t="s">
        <v>49</v>
      </c>
      <c r="J1007" s="161" t="s">
        <v>2039</v>
      </c>
      <c r="K1007" s="161" t="s">
        <v>2040</v>
      </c>
      <c r="L1007" s="45">
        <v>1</v>
      </c>
      <c r="M1007" s="138"/>
    </row>
    <row r="1008" spans="1:13" x14ac:dyDescent="0.2">
      <c r="A1008" s="210">
        <v>8</v>
      </c>
      <c r="B1008" s="384"/>
      <c r="C1008" s="384"/>
      <c r="D1008" s="209"/>
      <c r="E1008" s="440" t="s">
        <v>1514</v>
      </c>
      <c r="F1008" s="210" t="s">
        <v>1515</v>
      </c>
      <c r="G1008" s="210" t="s">
        <v>249</v>
      </c>
      <c r="H1008" s="219">
        <v>350</v>
      </c>
      <c r="I1008" s="307"/>
      <c r="J1008" s="155"/>
      <c r="K1008" s="161"/>
      <c r="L1008" s="45"/>
      <c r="M1008" s="138"/>
    </row>
    <row r="1009" spans="1:13" x14ac:dyDescent="0.2">
      <c r="A1009" s="210">
        <v>8</v>
      </c>
      <c r="B1009" s="384"/>
      <c r="C1009" s="384"/>
      <c r="D1009" s="209"/>
      <c r="E1009" s="440"/>
      <c r="F1009" s="210"/>
      <c r="G1009" s="312" t="s">
        <v>247</v>
      </c>
      <c r="H1009" s="220">
        <f>SUM(H1007:H1008)</f>
        <v>398.2</v>
      </c>
      <c r="I1009" s="307"/>
      <c r="J1009" s="155"/>
      <c r="K1009" s="161"/>
      <c r="L1009" s="45"/>
      <c r="M1009" s="138"/>
    </row>
    <row r="1010" spans="1:13" ht="19.149999999999999" customHeight="1" x14ac:dyDescent="0.2">
      <c r="A1010" s="210">
        <v>8</v>
      </c>
      <c r="B1010" s="384" t="s">
        <v>2050</v>
      </c>
      <c r="C1010" s="384" t="s">
        <v>2050</v>
      </c>
      <c r="D1010" s="753" t="s">
        <v>2051</v>
      </c>
      <c r="E1010" s="274">
        <v>11</v>
      </c>
      <c r="F1010" s="210" t="s">
        <v>1518</v>
      </c>
      <c r="G1010" s="210" t="s">
        <v>19</v>
      </c>
      <c r="H1010" s="219">
        <v>45</v>
      </c>
      <c r="I1010" s="307"/>
      <c r="J1010" s="951" t="s">
        <v>2026</v>
      </c>
      <c r="K1010" s="598" t="s">
        <v>2049</v>
      </c>
      <c r="L1010" s="202">
        <v>30</v>
      </c>
      <c r="M1010" s="138"/>
    </row>
    <row r="1011" spans="1:13" x14ac:dyDescent="0.2">
      <c r="A1011" s="210">
        <v>8</v>
      </c>
      <c r="B1011" s="384"/>
      <c r="C1011" s="384"/>
      <c r="D1011" s="950"/>
      <c r="E1011" s="274">
        <v>11</v>
      </c>
      <c r="F1011" s="210" t="s">
        <v>1518</v>
      </c>
      <c r="G1011" s="312" t="s">
        <v>247</v>
      </c>
      <c r="H1011" s="220">
        <f t="shared" ref="H1011" si="13">SUM(H1010)</f>
        <v>45</v>
      </c>
      <c r="I1011" s="307"/>
      <c r="J1011" s="155"/>
      <c r="K1011" s="161"/>
      <c r="L1011" s="45"/>
      <c r="M1011" s="138"/>
    </row>
    <row r="1012" spans="1:13" ht="22.5" x14ac:dyDescent="0.2">
      <c r="A1012" s="210">
        <v>8</v>
      </c>
      <c r="B1012" s="384" t="s">
        <v>1516</v>
      </c>
      <c r="C1012" s="384" t="s">
        <v>1516</v>
      </c>
      <c r="D1012" s="753" t="s">
        <v>1517</v>
      </c>
      <c r="E1012" s="274">
        <v>11</v>
      </c>
      <c r="F1012" s="210" t="s">
        <v>1518</v>
      </c>
      <c r="G1012" s="210" t="s">
        <v>19</v>
      </c>
      <c r="H1012" s="219">
        <v>20</v>
      </c>
      <c r="I1012" s="307" t="s">
        <v>64</v>
      </c>
      <c r="J1012" s="784" t="s">
        <v>2026</v>
      </c>
      <c r="K1012" s="784" t="s">
        <v>1519</v>
      </c>
      <c r="L1012" s="45">
        <v>6</v>
      </c>
      <c r="M1012" s="138"/>
    </row>
    <row r="1013" spans="1:13" ht="12.75" customHeight="1" x14ac:dyDescent="0.2">
      <c r="A1013" s="752">
        <v>8</v>
      </c>
      <c r="B1013" s="384"/>
      <c r="C1013" s="384"/>
      <c r="D1013" s="820"/>
      <c r="E1013" s="274"/>
      <c r="F1013" s="210"/>
      <c r="G1013" s="312" t="s">
        <v>247</v>
      </c>
      <c r="H1013" s="220">
        <f>SUM(H1012)</f>
        <v>20</v>
      </c>
      <c r="I1013" s="307"/>
      <c r="J1013" s="155"/>
      <c r="K1013" s="161"/>
      <c r="L1013" s="45"/>
      <c r="M1013" s="138"/>
    </row>
    <row r="1014" spans="1:13" ht="26.25" customHeight="1" x14ac:dyDescent="0.2">
      <c r="A1014" s="210">
        <v>8</v>
      </c>
      <c r="B1014" s="384" t="s">
        <v>2067</v>
      </c>
      <c r="C1014" s="384" t="s">
        <v>2067</v>
      </c>
      <c r="D1014" s="753" t="s">
        <v>2068</v>
      </c>
      <c r="E1014" s="274">
        <v>11</v>
      </c>
      <c r="F1014" s="214" t="s">
        <v>2069</v>
      </c>
      <c r="G1014" s="210" t="s">
        <v>19</v>
      </c>
      <c r="H1014" s="219"/>
      <c r="I1014" s="307"/>
      <c r="J1014" s="951" t="s">
        <v>2026</v>
      </c>
      <c r="K1014" s="162" t="s">
        <v>2076</v>
      </c>
      <c r="L1014" s="52">
        <v>1</v>
      </c>
      <c r="M1014" s="138"/>
    </row>
    <row r="1015" spans="1:13" ht="12.75" customHeight="1" x14ac:dyDescent="0.2">
      <c r="A1015" s="752">
        <v>8</v>
      </c>
      <c r="B1015" s="384"/>
      <c r="C1015" s="384"/>
      <c r="D1015" s="209"/>
      <c r="E1015" s="274">
        <v>11</v>
      </c>
      <c r="F1015" s="214" t="s">
        <v>2069</v>
      </c>
      <c r="G1015" s="210" t="s">
        <v>249</v>
      </c>
      <c r="H1015" s="219"/>
      <c r="I1015" s="307"/>
      <c r="J1015" s="155"/>
      <c r="K1015" s="161"/>
      <c r="L1015" s="45"/>
      <c r="M1015" s="138"/>
    </row>
    <row r="1016" spans="1:13" ht="12.75" customHeight="1" x14ac:dyDescent="0.2">
      <c r="A1016" s="210">
        <v>8</v>
      </c>
      <c r="B1016" s="384"/>
      <c r="C1016" s="384"/>
      <c r="D1016" s="209"/>
      <c r="E1016" s="440"/>
      <c r="F1016" s="210"/>
      <c r="G1016" s="312" t="s">
        <v>247</v>
      </c>
      <c r="H1016" s="220">
        <f>SUM(H1014:H1015)</f>
        <v>0</v>
      </c>
      <c r="I1016" s="307"/>
      <c r="J1016" s="155"/>
      <c r="K1016" s="161"/>
      <c r="L1016" s="45"/>
      <c r="M1016" s="138"/>
    </row>
    <row r="1017" spans="1:13" ht="22.5" x14ac:dyDescent="0.2">
      <c r="A1017" s="210">
        <v>8</v>
      </c>
      <c r="B1017" s="314"/>
      <c r="C1017" s="314"/>
      <c r="D1017" s="315" t="s">
        <v>1520</v>
      </c>
      <c r="E1017" s="723"/>
      <c r="F1017" s="314"/>
      <c r="G1017" s="317"/>
      <c r="H1017" s="316"/>
      <c r="I1017" s="307"/>
      <c r="J1017" s="155"/>
      <c r="K1017" s="161"/>
      <c r="L1017" s="45"/>
      <c r="M1017" s="138"/>
    </row>
    <row r="1018" spans="1:13" ht="22.5" x14ac:dyDescent="0.2">
      <c r="A1018" s="210">
        <v>8</v>
      </c>
      <c r="B1018" s="308" t="s">
        <v>1521</v>
      </c>
      <c r="C1018" s="308" t="s">
        <v>1521</v>
      </c>
      <c r="D1018" s="313" t="s">
        <v>1522</v>
      </c>
      <c r="E1018" s="440"/>
      <c r="F1018" s="210"/>
      <c r="G1018" s="384"/>
      <c r="H1018" s="207"/>
      <c r="I1018" s="307"/>
      <c r="J1018" s="155"/>
      <c r="K1018" s="161"/>
      <c r="L1018" s="45"/>
      <c r="M1018" s="138"/>
    </row>
    <row r="1019" spans="1:13" ht="22.5" x14ac:dyDescent="0.2">
      <c r="A1019" s="210">
        <v>8</v>
      </c>
      <c r="B1019" s="384" t="s">
        <v>1524</v>
      </c>
      <c r="C1019" s="384" t="s">
        <v>1524</v>
      </c>
      <c r="D1019" s="821" t="s">
        <v>1525</v>
      </c>
      <c r="E1019" s="274">
        <v>9</v>
      </c>
      <c r="F1019" s="307" t="s">
        <v>1526</v>
      </c>
      <c r="G1019" s="307" t="s">
        <v>19</v>
      </c>
      <c r="H1019" s="219">
        <f>70+317.2-25</f>
        <v>362.2</v>
      </c>
      <c r="I1019" s="307" t="s">
        <v>196</v>
      </c>
      <c r="J1019" s="802" t="s">
        <v>2028</v>
      </c>
      <c r="K1019" s="161" t="s">
        <v>2029</v>
      </c>
      <c r="L1019" s="45">
        <v>32</v>
      </c>
      <c r="M1019" s="138" t="s">
        <v>187</v>
      </c>
    </row>
    <row r="1020" spans="1:13" ht="12.75" customHeight="1" x14ac:dyDescent="0.2">
      <c r="A1020" s="210">
        <v>8</v>
      </c>
      <c r="B1020" s="384"/>
      <c r="C1020" s="384"/>
      <c r="D1020" s="821"/>
      <c r="E1020" s="440" t="s">
        <v>1510</v>
      </c>
      <c r="F1020" s="307" t="s">
        <v>1526</v>
      </c>
      <c r="G1020" s="311" t="s">
        <v>249</v>
      </c>
      <c r="H1020" s="219">
        <v>200</v>
      </c>
      <c r="I1020" s="307"/>
      <c r="J1020" s="155"/>
      <c r="K1020" s="161"/>
      <c r="L1020" s="45"/>
      <c r="M1020" s="138"/>
    </row>
    <row r="1021" spans="1:13" ht="18.600000000000001" customHeight="1" x14ac:dyDescent="0.2">
      <c r="A1021" s="210">
        <v>8</v>
      </c>
      <c r="B1021" s="384"/>
      <c r="C1021" s="384"/>
      <c r="D1021" s="821"/>
      <c r="E1021" s="440" t="s">
        <v>1510</v>
      </c>
      <c r="F1021" s="307" t="s">
        <v>1526</v>
      </c>
      <c r="G1021" s="311" t="s">
        <v>19</v>
      </c>
      <c r="H1021" s="219">
        <v>25</v>
      </c>
      <c r="I1021" s="307"/>
      <c r="J1021" s="598" t="s">
        <v>2038</v>
      </c>
      <c r="K1021" s="598" t="s">
        <v>2081</v>
      </c>
      <c r="L1021" s="45"/>
      <c r="M1021" s="138"/>
    </row>
    <row r="1022" spans="1:13" ht="12.75" customHeight="1" x14ac:dyDescent="0.2">
      <c r="A1022" s="210">
        <v>8</v>
      </c>
      <c r="B1022" s="384"/>
      <c r="C1022" s="384"/>
      <c r="D1022" s="24"/>
      <c r="E1022" s="274"/>
      <c r="F1022" s="307"/>
      <c r="G1022" s="312" t="s">
        <v>247</v>
      </c>
      <c r="H1022" s="220">
        <f>SUM(H1019:H1021)</f>
        <v>587.20000000000005</v>
      </c>
      <c r="I1022" s="307"/>
      <c r="J1022" s="155"/>
      <c r="K1022" s="161"/>
      <c r="L1022" s="45"/>
      <c r="M1022" s="138"/>
    </row>
    <row r="1023" spans="1:13" ht="22.5" x14ac:dyDescent="0.2">
      <c r="A1023" s="210">
        <v>8</v>
      </c>
      <c r="B1023" s="308" t="s">
        <v>1527</v>
      </c>
      <c r="C1023" s="308" t="s">
        <v>1527</v>
      </c>
      <c r="D1023" s="313" t="s">
        <v>1528</v>
      </c>
      <c r="E1023" s="440" t="s">
        <v>62</v>
      </c>
      <c r="F1023" s="754" t="s">
        <v>1529</v>
      </c>
      <c r="G1023" s="307" t="s">
        <v>19</v>
      </c>
      <c r="H1023" s="219">
        <v>1272</v>
      </c>
      <c r="I1023" s="307" t="s">
        <v>181</v>
      </c>
      <c r="J1023" s="161" t="s">
        <v>2027</v>
      </c>
      <c r="K1023" s="161" t="s">
        <v>1530</v>
      </c>
      <c r="L1023" s="45">
        <v>100</v>
      </c>
      <c r="M1023" s="139" t="s">
        <v>67</v>
      </c>
    </row>
    <row r="1024" spans="1:13" ht="12.75" customHeight="1" x14ac:dyDescent="0.2">
      <c r="A1024" s="210">
        <v>8</v>
      </c>
      <c r="B1024" s="384"/>
      <c r="C1024" s="384"/>
      <c r="D1024" s="25"/>
      <c r="E1024" s="440" t="s">
        <v>62</v>
      </c>
      <c r="F1024" s="754" t="s">
        <v>1529</v>
      </c>
      <c r="G1024" s="307" t="s">
        <v>75</v>
      </c>
      <c r="H1024" s="219">
        <f>1272-1272</f>
        <v>0</v>
      </c>
      <c r="I1024" s="307" t="s">
        <v>181</v>
      </c>
      <c r="J1024" s="155"/>
      <c r="K1024" s="161"/>
      <c r="L1024" s="45"/>
      <c r="M1024" s="139" t="s">
        <v>67</v>
      </c>
    </row>
    <row r="1025" spans="1:13" ht="12.75" customHeight="1" x14ac:dyDescent="0.2">
      <c r="A1025" s="752">
        <v>8</v>
      </c>
      <c r="B1025" s="384"/>
      <c r="C1025" s="384"/>
      <c r="D1025" s="25"/>
      <c r="E1025" s="440" t="s">
        <v>62</v>
      </c>
      <c r="F1025" s="754" t="s">
        <v>1529</v>
      </c>
      <c r="G1025" s="210" t="s">
        <v>177</v>
      </c>
      <c r="H1025" s="219">
        <f>2000+1000-300-160-690-1850</f>
        <v>0</v>
      </c>
      <c r="I1025" s="307" t="s">
        <v>181</v>
      </c>
      <c r="J1025" s="155"/>
      <c r="K1025" s="161"/>
      <c r="L1025" s="45"/>
      <c r="M1025" s="139" t="s">
        <v>67</v>
      </c>
    </row>
    <row r="1026" spans="1:13" ht="12.75" customHeight="1" x14ac:dyDescent="0.2">
      <c r="A1026" s="210">
        <v>8</v>
      </c>
      <c r="B1026" s="384"/>
      <c r="C1026" s="384"/>
      <c r="D1026" s="25"/>
      <c r="E1026" s="440" t="s">
        <v>62</v>
      </c>
      <c r="F1026" s="754" t="s">
        <v>1529</v>
      </c>
      <c r="G1026" s="307" t="s">
        <v>424</v>
      </c>
      <c r="H1026" s="219"/>
      <c r="I1026" s="307" t="s">
        <v>181</v>
      </c>
      <c r="J1026" s="155"/>
      <c r="K1026" s="161"/>
      <c r="L1026" s="45"/>
      <c r="M1026" s="139" t="s">
        <v>67</v>
      </c>
    </row>
    <row r="1027" spans="1:13" ht="12.75" customHeight="1" x14ac:dyDescent="0.2">
      <c r="A1027" s="752">
        <v>8</v>
      </c>
      <c r="B1027" s="384"/>
      <c r="C1027" s="384"/>
      <c r="D1027" s="25"/>
      <c r="E1027" s="440" t="s">
        <v>62</v>
      </c>
      <c r="F1027" s="754" t="s">
        <v>1529</v>
      </c>
      <c r="G1027" s="307" t="s">
        <v>248</v>
      </c>
      <c r="H1027" s="219">
        <f>1500-228-1272</f>
        <v>0</v>
      </c>
      <c r="I1027" s="307" t="s">
        <v>181</v>
      </c>
      <c r="J1027" s="155"/>
      <c r="K1027" s="161"/>
      <c r="L1027" s="45"/>
      <c r="M1027" s="139" t="s">
        <v>67</v>
      </c>
    </row>
    <row r="1028" spans="1:13" ht="12.75" customHeight="1" x14ac:dyDescent="0.2">
      <c r="A1028" s="210">
        <v>8</v>
      </c>
      <c r="B1028" s="384"/>
      <c r="C1028" s="384"/>
      <c r="D1028" s="25"/>
      <c r="E1028" s="440" t="s">
        <v>62</v>
      </c>
      <c r="F1028" s="754" t="s">
        <v>1529</v>
      </c>
      <c r="G1028" s="307" t="s">
        <v>21</v>
      </c>
      <c r="H1028" s="219"/>
      <c r="I1028" s="307" t="s">
        <v>181</v>
      </c>
      <c r="J1028" s="155"/>
      <c r="K1028" s="161"/>
      <c r="L1028" s="45"/>
      <c r="M1028" s="139" t="s">
        <v>67</v>
      </c>
    </row>
    <row r="1029" spans="1:13" ht="12.75" customHeight="1" x14ac:dyDescent="0.2">
      <c r="A1029" s="210">
        <v>8</v>
      </c>
      <c r="B1029" s="384"/>
      <c r="C1029" s="384"/>
      <c r="D1029" s="25"/>
      <c r="E1029" s="440"/>
      <c r="F1029" s="754"/>
      <c r="G1029" s="312" t="s">
        <v>247</v>
      </c>
      <c r="H1029" s="220">
        <f>SUM(H1023:H1028)</f>
        <v>1272</v>
      </c>
      <c r="I1029" s="307" t="s">
        <v>181</v>
      </c>
      <c r="J1029" s="155"/>
      <c r="K1029" s="161"/>
      <c r="L1029" s="45"/>
      <c r="M1029" s="139"/>
    </row>
    <row r="1030" spans="1:13" ht="12.75" hidden="1" customHeight="1" x14ac:dyDescent="0.2">
      <c r="A1030" s="210">
        <v>8</v>
      </c>
      <c r="B1030" s="384"/>
      <c r="C1030" s="384"/>
      <c r="D1030" s="25"/>
      <c r="E1030" s="440"/>
      <c r="F1030" s="754"/>
      <c r="G1030" s="299" t="s">
        <v>247</v>
      </c>
      <c r="H1030" s="299">
        <f>SUM(H1003,H1006,H1009,H1013,H1022,H1029)</f>
        <v>5242.3999999999996</v>
      </c>
      <c r="I1030" s="307"/>
      <c r="J1030" s="155"/>
      <c r="K1030" s="161"/>
      <c r="L1030" s="45"/>
      <c r="M1030" s="139"/>
    </row>
    <row r="1031" spans="1:13" ht="12.75" hidden="1" customHeight="1" x14ac:dyDescent="0.2">
      <c r="A1031" s="210">
        <v>8</v>
      </c>
      <c r="B1031" s="384"/>
      <c r="C1031" s="384"/>
      <c r="D1031" s="25"/>
      <c r="E1031" s="440"/>
      <c r="F1031" s="754"/>
      <c r="G1031" s="210" t="s">
        <v>19</v>
      </c>
      <c r="H1031" s="211">
        <f>SUM(H1001,H1004,H1007,H1012,H1019,H1023,H1021)</f>
        <v>3501.4</v>
      </c>
      <c r="I1031" s="307"/>
      <c r="J1031" s="155"/>
      <c r="K1031" s="161"/>
      <c r="L1031" s="45"/>
      <c r="M1031" s="139"/>
    </row>
    <row r="1032" spans="1:13" ht="12.75" hidden="1" customHeight="1" x14ac:dyDescent="0.2">
      <c r="A1032" s="210">
        <v>8</v>
      </c>
      <c r="B1032" s="384"/>
      <c r="C1032" s="384"/>
      <c r="D1032" s="25"/>
      <c r="E1032" s="440"/>
      <c r="F1032" s="754"/>
      <c r="G1032" s="210" t="s">
        <v>22</v>
      </c>
      <c r="H1032" s="212"/>
      <c r="I1032" s="307"/>
      <c r="J1032" s="155"/>
      <c r="K1032" s="161"/>
      <c r="L1032" s="45"/>
      <c r="M1032" s="139"/>
    </row>
    <row r="1033" spans="1:13" ht="12.75" hidden="1" customHeight="1" x14ac:dyDescent="0.2">
      <c r="A1033" s="210">
        <v>8</v>
      </c>
      <c r="B1033" s="384"/>
      <c r="C1033" s="384"/>
      <c r="D1033" s="25"/>
      <c r="E1033" s="440"/>
      <c r="F1033" s="754"/>
      <c r="G1033" s="210" t="s">
        <v>249</v>
      </c>
      <c r="H1033" s="212">
        <f>SUM(H1002,H1005,H1008,H1020)</f>
        <v>1741</v>
      </c>
      <c r="I1033" s="307"/>
      <c r="J1033" s="155"/>
      <c r="K1033" s="161"/>
      <c r="L1033" s="45"/>
      <c r="M1033" s="139"/>
    </row>
    <row r="1034" spans="1:13" ht="12.75" hidden="1" customHeight="1" x14ac:dyDescent="0.2">
      <c r="A1034" s="752">
        <v>8</v>
      </c>
      <c r="B1034" s="384"/>
      <c r="C1034" s="384"/>
      <c r="D1034" s="25"/>
      <c r="E1034" s="440"/>
      <c r="F1034" s="754"/>
      <c r="G1034" s="413" t="s">
        <v>56</v>
      </c>
      <c r="H1034" s="212"/>
      <c r="I1034" s="307"/>
      <c r="J1034" s="155"/>
      <c r="K1034" s="161"/>
      <c r="L1034" s="45"/>
      <c r="M1034" s="139"/>
    </row>
    <row r="1035" spans="1:13" ht="12.75" hidden="1" customHeight="1" x14ac:dyDescent="0.2">
      <c r="A1035" s="210">
        <v>8</v>
      </c>
      <c r="B1035" s="384"/>
      <c r="C1035" s="384"/>
      <c r="D1035" s="25"/>
      <c r="E1035" s="440"/>
      <c r="F1035" s="754"/>
      <c r="G1035" s="413" t="s">
        <v>59</v>
      </c>
      <c r="H1035" s="212"/>
      <c r="I1035" s="307"/>
      <c r="J1035" s="155"/>
      <c r="K1035" s="161"/>
      <c r="L1035" s="45"/>
      <c r="M1035" s="139"/>
    </row>
    <row r="1036" spans="1:13" ht="12.75" hidden="1" customHeight="1" x14ac:dyDescent="0.2">
      <c r="A1036" s="752">
        <v>8</v>
      </c>
      <c r="B1036" s="384"/>
      <c r="C1036" s="384"/>
      <c r="D1036" s="25"/>
      <c r="E1036" s="440"/>
      <c r="F1036" s="754"/>
      <c r="G1036" s="210" t="s">
        <v>21</v>
      </c>
      <c r="H1036" s="211">
        <f>SUM(H1028)</f>
        <v>0</v>
      </c>
      <c r="I1036" s="307"/>
      <c r="J1036" s="155"/>
      <c r="K1036" s="161"/>
      <c r="L1036" s="45"/>
      <c r="M1036" s="139"/>
    </row>
    <row r="1037" spans="1:13" ht="12.75" hidden="1" customHeight="1" x14ac:dyDescent="0.2">
      <c r="A1037" s="752">
        <v>8</v>
      </c>
      <c r="B1037" s="384"/>
      <c r="C1037" s="384"/>
      <c r="D1037" s="25"/>
      <c r="E1037" s="440"/>
      <c r="F1037" s="754"/>
      <c r="G1037" s="210" t="s">
        <v>248</v>
      </c>
      <c r="H1037" s="212">
        <f>SUM(H1027)</f>
        <v>0</v>
      </c>
      <c r="I1037" s="307"/>
      <c r="J1037" s="155"/>
      <c r="K1037" s="161"/>
      <c r="L1037" s="45"/>
      <c r="M1037" s="139"/>
    </row>
    <row r="1038" spans="1:13" ht="12.75" hidden="1" customHeight="1" x14ac:dyDescent="0.2">
      <c r="A1038" s="210">
        <v>8</v>
      </c>
      <c r="B1038" s="384"/>
      <c r="C1038" s="384"/>
      <c r="D1038" s="25"/>
      <c r="E1038" s="440"/>
      <c r="F1038" s="754"/>
      <c r="G1038" s="210" t="s">
        <v>424</v>
      </c>
      <c r="H1038" s="212">
        <f>H1026</f>
        <v>0</v>
      </c>
      <c r="I1038" s="307"/>
      <c r="J1038" s="155"/>
      <c r="K1038" s="161"/>
      <c r="L1038" s="45"/>
      <c r="M1038" s="139"/>
    </row>
    <row r="1039" spans="1:13" ht="12.75" hidden="1" customHeight="1" x14ac:dyDescent="0.2">
      <c r="A1039" s="210">
        <v>8</v>
      </c>
      <c r="B1039" s="384"/>
      <c r="C1039" s="384"/>
      <c r="D1039" s="25"/>
      <c r="E1039" s="440"/>
      <c r="F1039" s="754"/>
      <c r="G1039" s="210" t="s">
        <v>75</v>
      </c>
      <c r="H1039" s="212">
        <f>H1024</f>
        <v>0</v>
      </c>
      <c r="I1039" s="307"/>
      <c r="J1039" s="155"/>
      <c r="K1039" s="161"/>
      <c r="L1039" s="45"/>
      <c r="M1039" s="139"/>
    </row>
    <row r="1040" spans="1:13" ht="12.75" hidden="1" customHeight="1" x14ac:dyDescent="0.2">
      <c r="A1040" s="210">
        <v>8</v>
      </c>
      <c r="B1040" s="384"/>
      <c r="C1040" s="384"/>
      <c r="D1040" s="25"/>
      <c r="E1040" s="440"/>
      <c r="F1040" s="754"/>
      <c r="G1040" s="210" t="s">
        <v>177</v>
      </c>
      <c r="H1040" s="212">
        <f>SUM(H1025)</f>
        <v>0</v>
      </c>
      <c r="I1040" s="307"/>
      <c r="J1040" s="155"/>
      <c r="K1040" s="161"/>
      <c r="L1040" s="45"/>
      <c r="M1040" s="139"/>
    </row>
    <row r="1041" spans="1:13" ht="12.75" hidden="1" customHeight="1" x14ac:dyDescent="0.2">
      <c r="A1041" s="210">
        <v>8</v>
      </c>
      <c r="B1041" s="384"/>
      <c r="C1041" s="384"/>
      <c r="D1041" s="25"/>
      <c r="E1041" s="440"/>
      <c r="F1041" s="754"/>
      <c r="G1041" s="299" t="s">
        <v>247</v>
      </c>
      <c r="H1041" s="299">
        <f>SUM(H1031:H1040)</f>
        <v>5242.3999999999996</v>
      </c>
      <c r="I1041" s="307"/>
      <c r="J1041" s="155"/>
      <c r="K1041" s="161"/>
      <c r="L1041" s="45"/>
      <c r="M1041" s="139"/>
    </row>
    <row r="1042" spans="1:13" ht="12.75" hidden="1" customHeight="1" x14ac:dyDescent="0.2">
      <c r="A1042" s="210">
        <v>8</v>
      </c>
      <c r="B1042" s="384"/>
      <c r="C1042" s="384"/>
      <c r="D1042" s="25"/>
      <c r="E1042" s="440"/>
      <c r="F1042" s="754"/>
      <c r="G1042" s="210"/>
      <c r="H1042" s="211">
        <f>H1030-H1041</f>
        <v>0</v>
      </c>
      <c r="I1042" s="307"/>
      <c r="J1042" s="155"/>
      <c r="K1042" s="161"/>
      <c r="L1042" s="45"/>
      <c r="M1042" s="139"/>
    </row>
    <row r="1043" spans="1:13" ht="12.75" customHeight="1" x14ac:dyDescent="0.2">
      <c r="A1043" s="934"/>
      <c r="B1043" s="934"/>
      <c r="C1043" s="934"/>
      <c r="D1043" s="934" t="s">
        <v>2025</v>
      </c>
      <c r="E1043" s="935"/>
      <c r="F1043" s="934"/>
      <c r="G1043" s="934"/>
      <c r="H1043" s="934"/>
      <c r="I1043" s="934"/>
      <c r="J1043" s="934"/>
      <c r="K1043" s="934"/>
      <c r="L1043" s="934"/>
      <c r="M1043" s="936"/>
    </row>
    <row r="1044" spans="1:13" ht="27.6" customHeight="1" x14ac:dyDescent="0.2">
      <c r="A1044" s="813">
        <v>9</v>
      </c>
      <c r="B1044" s="755"/>
      <c r="C1044" s="755"/>
      <c r="D1044" s="756" t="s">
        <v>1531</v>
      </c>
      <c r="E1044" s="710"/>
      <c r="F1044" s="305"/>
      <c r="G1044" s="303"/>
      <c r="H1044" s="305"/>
      <c r="I1044" s="713"/>
      <c r="J1044" s="140"/>
      <c r="K1044" s="161"/>
      <c r="L1044" s="45"/>
      <c r="M1044" s="58"/>
    </row>
    <row r="1045" spans="1:13" ht="24" customHeight="1" x14ac:dyDescent="0.2">
      <c r="A1045" s="813">
        <v>9</v>
      </c>
      <c r="B1045" s="757" t="s">
        <v>1532</v>
      </c>
      <c r="C1045" s="757" t="s">
        <v>1532</v>
      </c>
      <c r="D1045" s="758" t="s">
        <v>1533</v>
      </c>
      <c r="E1045" s="759">
        <v>6</v>
      </c>
      <c r="F1045" s="822" t="s">
        <v>1534</v>
      </c>
      <c r="G1045" s="207" t="s">
        <v>1535</v>
      </c>
      <c r="H1045" s="207">
        <f>SUM(H1048:H1051)</f>
        <v>1059.0999999999999</v>
      </c>
      <c r="I1045" s="307" t="s">
        <v>20</v>
      </c>
      <c r="J1045" s="823"/>
      <c r="K1045" s="161"/>
      <c r="L1045" s="45"/>
      <c r="M1045" s="824"/>
    </row>
    <row r="1046" spans="1:13" ht="28.15" customHeight="1" x14ac:dyDescent="0.2">
      <c r="A1046" s="813">
        <v>9</v>
      </c>
      <c r="B1046" s="825"/>
      <c r="C1046" s="813"/>
      <c r="D1046" s="826"/>
      <c r="E1046" s="822">
        <v>6</v>
      </c>
      <c r="F1046" s="822" t="s">
        <v>1534</v>
      </c>
      <c r="G1046" s="207" t="s">
        <v>1536</v>
      </c>
      <c r="H1046" s="207">
        <f>H1052</f>
        <v>0</v>
      </c>
      <c r="I1046" s="307"/>
      <c r="J1046" s="823"/>
      <c r="K1046" s="161"/>
      <c r="L1046" s="45"/>
      <c r="M1046" s="824"/>
    </row>
    <row r="1047" spans="1:13" ht="12.75" customHeight="1" x14ac:dyDescent="0.2">
      <c r="A1047" s="813">
        <v>9</v>
      </c>
      <c r="B1047" s="825"/>
      <c r="C1047" s="813"/>
      <c r="D1047" s="826"/>
      <c r="E1047" s="822">
        <v>6</v>
      </c>
      <c r="F1047" s="822" t="s">
        <v>1534</v>
      </c>
      <c r="G1047" s="760" t="s">
        <v>24</v>
      </c>
      <c r="H1047" s="761">
        <f>SUM(H1045:H1046)</f>
        <v>1059.0999999999999</v>
      </c>
      <c r="I1047" s="307"/>
      <c r="J1047" s="823"/>
      <c r="K1047" s="161"/>
      <c r="L1047" s="45"/>
      <c r="M1047" s="824"/>
    </row>
    <row r="1048" spans="1:13" ht="21.75" customHeight="1" x14ac:dyDescent="0.2">
      <c r="A1048" s="813">
        <v>9</v>
      </c>
      <c r="B1048" s="825"/>
      <c r="C1048" s="813" t="s">
        <v>1537</v>
      </c>
      <c r="D1048" s="826" t="s">
        <v>1538</v>
      </c>
      <c r="E1048" s="827">
        <v>6</v>
      </c>
      <c r="F1048" s="822" t="s">
        <v>1534</v>
      </c>
      <c r="G1048" s="828" t="s">
        <v>19</v>
      </c>
      <c r="H1048" s="219">
        <v>279.7</v>
      </c>
      <c r="I1048" s="307"/>
      <c r="J1048" s="823" t="s">
        <v>1539</v>
      </c>
      <c r="K1048" s="823" t="s">
        <v>89</v>
      </c>
      <c r="L1048" s="829">
        <v>100</v>
      </c>
      <c r="M1048" s="824"/>
    </row>
    <row r="1049" spans="1:13" ht="23.25" customHeight="1" x14ac:dyDescent="0.2">
      <c r="A1049" s="813">
        <v>9</v>
      </c>
      <c r="B1049" s="825"/>
      <c r="C1049" s="813" t="s">
        <v>1540</v>
      </c>
      <c r="D1049" s="826" t="s">
        <v>1541</v>
      </c>
      <c r="E1049" s="827">
        <v>6</v>
      </c>
      <c r="F1049" s="822" t="s">
        <v>1534</v>
      </c>
      <c r="G1049" s="828" t="s">
        <v>19</v>
      </c>
      <c r="H1049" s="219">
        <v>278.89999999999998</v>
      </c>
      <c r="I1049" s="307"/>
      <c r="J1049" s="823" t="s">
        <v>1539</v>
      </c>
      <c r="K1049" s="823" t="s">
        <v>89</v>
      </c>
      <c r="L1049" s="829">
        <v>100</v>
      </c>
      <c r="M1049" s="824"/>
    </row>
    <row r="1050" spans="1:13" ht="12.75" customHeight="1" x14ac:dyDescent="0.2">
      <c r="A1050" s="813">
        <v>9</v>
      </c>
      <c r="B1050" s="825"/>
      <c r="C1050" s="813" t="s">
        <v>1542</v>
      </c>
      <c r="D1050" s="826" t="s">
        <v>1543</v>
      </c>
      <c r="E1050" s="827">
        <v>6</v>
      </c>
      <c r="F1050" s="822" t="s">
        <v>1534</v>
      </c>
      <c r="G1050" s="828" t="s">
        <v>19</v>
      </c>
      <c r="H1050" s="219">
        <v>58.2</v>
      </c>
      <c r="I1050" s="307"/>
      <c r="J1050" s="823" t="s">
        <v>1544</v>
      </c>
      <c r="K1050" s="823" t="s">
        <v>89</v>
      </c>
      <c r="L1050" s="829">
        <v>100</v>
      </c>
      <c r="M1050" s="824"/>
    </row>
    <row r="1051" spans="1:13" ht="12.75" customHeight="1" x14ac:dyDescent="0.2">
      <c r="A1051" s="813">
        <v>9</v>
      </c>
      <c r="B1051" s="825"/>
      <c r="C1051" s="813" t="s">
        <v>1545</v>
      </c>
      <c r="D1051" s="826" t="s">
        <v>1546</v>
      </c>
      <c r="E1051" s="827">
        <v>6</v>
      </c>
      <c r="F1051" s="822" t="s">
        <v>1534</v>
      </c>
      <c r="G1051" s="828" t="s">
        <v>19</v>
      </c>
      <c r="H1051" s="219">
        <v>442.3</v>
      </c>
      <c r="I1051" s="307"/>
      <c r="J1051" s="823" t="s">
        <v>1547</v>
      </c>
      <c r="K1051" s="823" t="s">
        <v>89</v>
      </c>
      <c r="L1051" s="829">
        <v>100</v>
      </c>
      <c r="M1051" s="824"/>
    </row>
    <row r="1052" spans="1:13" ht="12.75" customHeight="1" x14ac:dyDescent="0.2">
      <c r="A1052" s="813">
        <v>9</v>
      </c>
      <c r="B1052" s="825"/>
      <c r="C1052" s="762" t="s">
        <v>1537</v>
      </c>
      <c r="D1052" s="826" t="s">
        <v>1538</v>
      </c>
      <c r="E1052" s="827">
        <v>6</v>
      </c>
      <c r="F1052" s="822" t="s">
        <v>1534</v>
      </c>
      <c r="G1052" s="828" t="s">
        <v>21</v>
      </c>
      <c r="H1052" s="219"/>
      <c r="I1052" s="307"/>
      <c r="J1052" s="823"/>
      <c r="K1052" s="161"/>
      <c r="L1052" s="45"/>
      <c r="M1052" s="824"/>
    </row>
    <row r="1053" spans="1:13" ht="24" customHeight="1" x14ac:dyDescent="0.2">
      <c r="A1053" s="813">
        <v>9</v>
      </c>
      <c r="B1053" s="757" t="s">
        <v>1548</v>
      </c>
      <c r="C1053" s="757" t="s">
        <v>1548</v>
      </c>
      <c r="D1053" s="758" t="s">
        <v>1549</v>
      </c>
      <c r="E1053" s="827"/>
      <c r="F1053" s="822"/>
      <c r="G1053" s="207" t="s">
        <v>1535</v>
      </c>
      <c r="H1053" s="207">
        <f>SUM(H1062:H1069,H1071:H1076,H1078,H1080:H1081,H1083,H1085:H1086,H1056:H1060,H1087)</f>
        <v>12236.5</v>
      </c>
      <c r="I1053" s="307" t="s">
        <v>20</v>
      </c>
      <c r="J1053" s="823"/>
      <c r="K1053" s="161"/>
      <c r="L1053" s="45"/>
      <c r="M1053" s="824"/>
    </row>
    <row r="1054" spans="1:13" ht="12.75" customHeight="1" x14ac:dyDescent="0.2">
      <c r="A1054" s="813">
        <v>9</v>
      </c>
      <c r="B1054" s="825"/>
      <c r="C1054" s="813"/>
      <c r="D1054" s="826"/>
      <c r="E1054" s="827"/>
      <c r="F1054" s="822"/>
      <c r="G1054" s="207" t="s">
        <v>1550</v>
      </c>
      <c r="H1054" s="207">
        <f>SUM(H1077,H1079,H1082,H1084,H1061)</f>
        <v>17</v>
      </c>
      <c r="I1054" s="307"/>
      <c r="J1054" s="823"/>
      <c r="K1054" s="161"/>
      <c r="L1054" s="45"/>
      <c r="M1054" s="824"/>
    </row>
    <row r="1055" spans="1:13" ht="12.75" customHeight="1" x14ac:dyDescent="0.2">
      <c r="A1055" s="813">
        <v>9</v>
      </c>
      <c r="B1055" s="825"/>
      <c r="C1055" s="813"/>
      <c r="D1055" s="826"/>
      <c r="E1055" s="827"/>
      <c r="F1055" s="822"/>
      <c r="G1055" s="760" t="s">
        <v>247</v>
      </c>
      <c r="H1055" s="761">
        <f>SUM(H1053:H1054)</f>
        <v>12253.5</v>
      </c>
      <c r="I1055" s="307"/>
      <c r="J1055" s="823"/>
      <c r="K1055" s="161"/>
      <c r="L1055" s="45"/>
      <c r="M1055" s="824"/>
    </row>
    <row r="1056" spans="1:13" ht="29.25" customHeight="1" x14ac:dyDescent="0.2">
      <c r="A1056" s="813">
        <v>9</v>
      </c>
      <c r="B1056" s="825"/>
      <c r="C1056" s="813" t="s">
        <v>1551</v>
      </c>
      <c r="D1056" s="826" t="s">
        <v>1552</v>
      </c>
      <c r="E1056" s="763">
        <v>6</v>
      </c>
      <c r="F1056" s="822" t="s">
        <v>1553</v>
      </c>
      <c r="G1056" s="828" t="s">
        <v>19</v>
      </c>
      <c r="H1056" s="219">
        <f>5884.1-4.2-100</f>
        <v>5779.9000000000005</v>
      </c>
      <c r="I1056" s="307"/>
      <c r="J1056" s="823" t="s">
        <v>1554</v>
      </c>
      <c r="K1056" s="823" t="s">
        <v>1555</v>
      </c>
      <c r="L1056" s="45"/>
      <c r="M1056" s="824"/>
    </row>
    <row r="1057" spans="1:13" ht="25.5" customHeight="1" x14ac:dyDescent="0.2">
      <c r="A1057" s="813">
        <v>9</v>
      </c>
      <c r="B1057" s="825"/>
      <c r="C1057" s="813"/>
      <c r="D1057" s="830" t="s">
        <v>1556</v>
      </c>
      <c r="E1057" s="214">
        <v>6</v>
      </c>
      <c r="F1057" s="813" t="s">
        <v>1557</v>
      </c>
      <c r="G1057" s="828" t="s">
        <v>19</v>
      </c>
      <c r="H1057" s="219">
        <f>200+100</f>
        <v>300</v>
      </c>
      <c r="I1057" s="307"/>
      <c r="J1057" s="823" t="s">
        <v>1558</v>
      </c>
      <c r="K1057" s="823" t="s">
        <v>1559</v>
      </c>
      <c r="L1057" s="45"/>
      <c r="M1057" s="824"/>
    </row>
    <row r="1058" spans="1:13" ht="24" customHeight="1" x14ac:dyDescent="0.2">
      <c r="A1058" s="813">
        <v>9</v>
      </c>
      <c r="B1058" s="825"/>
      <c r="C1058" s="813"/>
      <c r="D1058" s="764" t="s">
        <v>1560</v>
      </c>
      <c r="E1058" s="763">
        <v>3</v>
      </c>
      <c r="F1058" s="822" t="s">
        <v>1553</v>
      </c>
      <c r="G1058" s="828" t="s">
        <v>19</v>
      </c>
      <c r="H1058" s="219">
        <v>10</v>
      </c>
      <c r="I1058" s="307"/>
      <c r="J1058" s="823" t="s">
        <v>1561</v>
      </c>
      <c r="K1058" s="823" t="s">
        <v>1562</v>
      </c>
      <c r="L1058" s="45">
        <v>100</v>
      </c>
      <c r="M1058" s="824"/>
    </row>
    <row r="1059" spans="1:13" ht="12.75" customHeight="1" x14ac:dyDescent="0.2">
      <c r="A1059" s="813">
        <v>9</v>
      </c>
      <c r="B1059" s="825"/>
      <c r="C1059" s="813"/>
      <c r="D1059" s="764" t="s">
        <v>1560</v>
      </c>
      <c r="E1059" s="763">
        <v>34</v>
      </c>
      <c r="F1059" s="822" t="s">
        <v>1553</v>
      </c>
      <c r="G1059" s="828" t="s">
        <v>19</v>
      </c>
      <c r="H1059" s="219">
        <v>310</v>
      </c>
      <c r="I1059" s="307"/>
      <c r="J1059" s="823" t="s">
        <v>1563</v>
      </c>
      <c r="K1059" s="823" t="s">
        <v>1564</v>
      </c>
      <c r="L1059" s="45"/>
      <c r="M1059" s="824"/>
    </row>
    <row r="1060" spans="1:13" ht="27" customHeight="1" x14ac:dyDescent="0.2">
      <c r="A1060" s="813">
        <v>9</v>
      </c>
      <c r="B1060" s="825"/>
      <c r="C1060" s="813"/>
      <c r="D1060" s="764" t="s">
        <v>1560</v>
      </c>
      <c r="E1060" s="480">
        <v>6</v>
      </c>
      <c r="F1060" s="822" t="s">
        <v>1553</v>
      </c>
      <c r="G1060" s="828" t="s">
        <v>19</v>
      </c>
      <c r="H1060" s="219">
        <f>80</f>
        <v>80</v>
      </c>
      <c r="I1060" s="307"/>
      <c r="J1060" s="823" t="s">
        <v>1565</v>
      </c>
      <c r="K1060" s="823" t="s">
        <v>1566</v>
      </c>
      <c r="L1060" s="45"/>
      <c r="M1060" s="824"/>
    </row>
    <row r="1061" spans="1:13" ht="12.75" customHeight="1" x14ac:dyDescent="0.2">
      <c r="A1061" s="813">
        <v>9</v>
      </c>
      <c r="B1061" s="825"/>
      <c r="C1061" s="813"/>
      <c r="D1061" s="764" t="s">
        <v>1560</v>
      </c>
      <c r="E1061" s="763">
        <v>6</v>
      </c>
      <c r="F1061" s="822" t="s">
        <v>1553</v>
      </c>
      <c r="G1061" s="828" t="s">
        <v>22</v>
      </c>
      <c r="H1061" s="219">
        <v>12.1</v>
      </c>
      <c r="I1061" s="307"/>
      <c r="J1061" s="823" t="s">
        <v>588</v>
      </c>
      <c r="K1061" s="823" t="s">
        <v>1566</v>
      </c>
      <c r="L1061" s="45"/>
      <c r="M1061" s="824"/>
    </row>
    <row r="1062" spans="1:13" ht="21" customHeight="1" x14ac:dyDescent="0.2">
      <c r="A1062" s="813">
        <v>9</v>
      </c>
      <c r="B1062" s="825"/>
      <c r="C1062" s="813"/>
      <c r="D1062" s="764" t="s">
        <v>1567</v>
      </c>
      <c r="E1062" s="763">
        <v>6</v>
      </c>
      <c r="F1062" s="822" t="s">
        <v>1553</v>
      </c>
      <c r="G1062" s="828" t="s">
        <v>19</v>
      </c>
      <c r="H1062" s="219">
        <v>1626.2</v>
      </c>
      <c r="I1062" s="307"/>
      <c r="J1062" s="823" t="s">
        <v>1558</v>
      </c>
      <c r="K1062" s="823" t="s">
        <v>1568</v>
      </c>
      <c r="L1062" s="45"/>
      <c r="M1062" s="824"/>
    </row>
    <row r="1063" spans="1:13" ht="20.25" customHeight="1" x14ac:dyDescent="0.2">
      <c r="A1063" s="813">
        <v>9</v>
      </c>
      <c r="B1063" s="825"/>
      <c r="C1063" s="813"/>
      <c r="D1063" s="764" t="s">
        <v>1569</v>
      </c>
      <c r="E1063" s="763">
        <v>6</v>
      </c>
      <c r="F1063" s="822" t="s">
        <v>1553</v>
      </c>
      <c r="G1063" s="828" t="s">
        <v>19</v>
      </c>
      <c r="H1063" s="219">
        <v>447.3</v>
      </c>
      <c r="I1063" s="307"/>
      <c r="J1063" s="823" t="s">
        <v>1558</v>
      </c>
      <c r="K1063" s="823" t="s">
        <v>1568</v>
      </c>
      <c r="L1063" s="45"/>
      <c r="M1063" s="824"/>
    </row>
    <row r="1064" spans="1:13" ht="21.75" customHeight="1" x14ac:dyDescent="0.2">
      <c r="A1064" s="813">
        <v>9</v>
      </c>
      <c r="B1064" s="825"/>
      <c r="C1064" s="813"/>
      <c r="D1064" s="764" t="s">
        <v>1570</v>
      </c>
      <c r="E1064" s="763">
        <v>6</v>
      </c>
      <c r="F1064" s="822" t="s">
        <v>1553</v>
      </c>
      <c r="G1064" s="828" t="s">
        <v>19</v>
      </c>
      <c r="H1064" s="219">
        <v>43.2</v>
      </c>
      <c r="I1064" s="307"/>
      <c r="J1064" s="823" t="s">
        <v>1558</v>
      </c>
      <c r="K1064" s="823" t="s">
        <v>1568</v>
      </c>
      <c r="L1064" s="45"/>
      <c r="M1064" s="824"/>
    </row>
    <row r="1065" spans="1:13" ht="21" customHeight="1" x14ac:dyDescent="0.2">
      <c r="A1065" s="813">
        <v>9</v>
      </c>
      <c r="B1065" s="825"/>
      <c r="C1065" s="813"/>
      <c r="D1065" s="764" t="s">
        <v>1571</v>
      </c>
      <c r="E1065" s="763">
        <v>6</v>
      </c>
      <c r="F1065" s="822" t="s">
        <v>1553</v>
      </c>
      <c r="G1065" s="828" t="s">
        <v>19</v>
      </c>
      <c r="H1065" s="219">
        <v>118.3</v>
      </c>
      <c r="I1065" s="307"/>
      <c r="J1065" s="823" t="s">
        <v>1558</v>
      </c>
      <c r="K1065" s="823" t="s">
        <v>1568</v>
      </c>
      <c r="L1065" s="45"/>
      <c r="M1065" s="824"/>
    </row>
    <row r="1066" spans="1:13" ht="23.25" customHeight="1" x14ac:dyDescent="0.2">
      <c r="A1066" s="813">
        <v>9</v>
      </c>
      <c r="B1066" s="825"/>
      <c r="C1066" s="813"/>
      <c r="D1066" s="764" t="s">
        <v>1572</v>
      </c>
      <c r="E1066" s="763">
        <v>6</v>
      </c>
      <c r="F1066" s="822" t="s">
        <v>1553</v>
      </c>
      <c r="G1066" s="828" t="s">
        <v>19</v>
      </c>
      <c r="H1066" s="219">
        <v>189.5</v>
      </c>
      <c r="I1066" s="307"/>
      <c r="J1066" s="823" t="s">
        <v>1558</v>
      </c>
      <c r="K1066" s="823" t="s">
        <v>1568</v>
      </c>
      <c r="L1066" s="45"/>
      <c r="M1066" s="824"/>
    </row>
    <row r="1067" spans="1:13" ht="28.5" customHeight="1" x14ac:dyDescent="0.2">
      <c r="A1067" s="813">
        <v>9</v>
      </c>
      <c r="B1067" s="825"/>
      <c r="C1067" s="813"/>
      <c r="D1067" s="764" t="s">
        <v>1573</v>
      </c>
      <c r="E1067" s="763">
        <v>6</v>
      </c>
      <c r="F1067" s="822" t="s">
        <v>1553</v>
      </c>
      <c r="G1067" s="828" t="s">
        <v>19</v>
      </c>
      <c r="H1067" s="219">
        <v>453</v>
      </c>
      <c r="I1067" s="307"/>
      <c r="J1067" s="823" t="s">
        <v>1558</v>
      </c>
      <c r="K1067" s="823" t="s">
        <v>1568</v>
      </c>
      <c r="L1067" s="45"/>
      <c r="M1067" s="824"/>
    </row>
    <row r="1068" spans="1:13" ht="18" customHeight="1" x14ac:dyDescent="0.2">
      <c r="A1068" s="813">
        <v>9</v>
      </c>
      <c r="B1068" s="825"/>
      <c r="C1068" s="813" t="s">
        <v>1574</v>
      </c>
      <c r="D1068" s="826" t="s">
        <v>1575</v>
      </c>
      <c r="E1068" s="763">
        <v>3</v>
      </c>
      <c r="F1068" s="822" t="s">
        <v>1553</v>
      </c>
      <c r="G1068" s="828" t="s">
        <v>19</v>
      </c>
      <c r="H1068" s="219">
        <v>100</v>
      </c>
      <c r="I1068" s="307"/>
      <c r="J1068" s="823" t="s">
        <v>1561</v>
      </c>
      <c r="K1068" s="823" t="s">
        <v>1576</v>
      </c>
      <c r="L1068" s="45">
        <v>100</v>
      </c>
      <c r="M1068" s="824"/>
    </row>
    <row r="1069" spans="1:13" ht="33.75" x14ac:dyDescent="0.2">
      <c r="A1069" s="813">
        <v>9</v>
      </c>
      <c r="B1069" s="825"/>
      <c r="C1069" s="813" t="s">
        <v>1577</v>
      </c>
      <c r="D1069" s="826" t="s">
        <v>1578</v>
      </c>
      <c r="E1069" s="763">
        <v>6</v>
      </c>
      <c r="F1069" s="822" t="s">
        <v>1553</v>
      </c>
      <c r="G1069" s="828" t="s">
        <v>19</v>
      </c>
      <c r="H1069" s="219">
        <v>300</v>
      </c>
      <c r="I1069" s="307"/>
      <c r="J1069" s="823" t="s">
        <v>1565</v>
      </c>
      <c r="K1069" s="823" t="s">
        <v>1579</v>
      </c>
      <c r="L1069" s="829">
        <v>50</v>
      </c>
      <c r="M1069" s="824"/>
    </row>
    <row r="1070" spans="1:13" ht="12.75" customHeight="1" x14ac:dyDescent="0.2">
      <c r="A1070" s="813">
        <v>9</v>
      </c>
      <c r="B1070" s="825"/>
      <c r="C1070" s="813"/>
      <c r="D1070" s="831"/>
      <c r="E1070" s="827"/>
      <c r="F1070" s="822" t="s">
        <v>1553</v>
      </c>
      <c r="G1070" s="765" t="s">
        <v>247</v>
      </c>
      <c r="H1070" s="207">
        <f>SUM(H1056:H1069)</f>
        <v>9769.5</v>
      </c>
      <c r="I1070" s="307"/>
      <c r="J1070" s="823"/>
      <c r="K1070" s="161"/>
      <c r="L1070" s="45"/>
      <c r="M1070" s="824"/>
    </row>
    <row r="1071" spans="1:13" ht="12.75" customHeight="1" x14ac:dyDescent="0.2">
      <c r="A1071" s="813">
        <v>9</v>
      </c>
      <c r="B1071" s="825"/>
      <c r="C1071" s="813" t="s">
        <v>1580</v>
      </c>
      <c r="D1071" s="826" t="s">
        <v>1581</v>
      </c>
      <c r="E1071" s="827">
        <v>19</v>
      </c>
      <c r="F1071" s="822" t="s">
        <v>1582</v>
      </c>
      <c r="G1071" s="828" t="s">
        <v>19</v>
      </c>
      <c r="H1071" s="219">
        <f>164.8+15</f>
        <v>179.8</v>
      </c>
      <c r="I1071" s="307"/>
      <c r="J1071" s="823" t="s">
        <v>1583</v>
      </c>
      <c r="K1071" s="823" t="s">
        <v>1584</v>
      </c>
      <c r="L1071" s="829">
        <v>1</v>
      </c>
      <c r="M1071" s="824" t="s">
        <v>217</v>
      </c>
    </row>
    <row r="1072" spans="1:13" ht="12.75" customHeight="1" x14ac:dyDescent="0.2">
      <c r="A1072" s="813">
        <v>9</v>
      </c>
      <c r="B1072" s="825"/>
      <c r="C1072" s="813" t="s">
        <v>1585</v>
      </c>
      <c r="D1072" s="826" t="s">
        <v>1586</v>
      </c>
      <c r="E1072" s="827">
        <v>20</v>
      </c>
      <c r="F1072" s="822" t="s">
        <v>1587</v>
      </c>
      <c r="G1072" s="828" t="s">
        <v>19</v>
      </c>
      <c r="H1072" s="219">
        <v>208.2</v>
      </c>
      <c r="I1072" s="307"/>
      <c r="J1072" s="823" t="s">
        <v>1588</v>
      </c>
      <c r="K1072" s="823" t="s">
        <v>1584</v>
      </c>
      <c r="L1072" s="829">
        <v>1</v>
      </c>
      <c r="M1072" s="824" t="s">
        <v>545</v>
      </c>
    </row>
    <row r="1073" spans="1:13" ht="12.75" customHeight="1" x14ac:dyDescent="0.2">
      <c r="A1073" s="813">
        <v>9</v>
      </c>
      <c r="B1073" s="825"/>
      <c r="C1073" s="813" t="s">
        <v>1589</v>
      </c>
      <c r="D1073" s="826" t="s">
        <v>1590</v>
      </c>
      <c r="E1073" s="827">
        <v>21</v>
      </c>
      <c r="F1073" s="822" t="s">
        <v>1591</v>
      </c>
      <c r="G1073" s="828" t="s">
        <v>19</v>
      </c>
      <c r="H1073" s="219">
        <v>197.6</v>
      </c>
      <c r="I1073" s="307"/>
      <c r="J1073" s="823" t="s">
        <v>1173</v>
      </c>
      <c r="K1073" s="823" t="s">
        <v>1584</v>
      </c>
      <c r="L1073" s="829">
        <v>1</v>
      </c>
      <c r="M1073" s="824" t="s">
        <v>187</v>
      </c>
    </row>
    <row r="1074" spans="1:13" ht="12.75" customHeight="1" x14ac:dyDescent="0.2">
      <c r="A1074" s="813">
        <v>9</v>
      </c>
      <c r="B1074" s="825"/>
      <c r="C1074" s="813" t="s">
        <v>1592</v>
      </c>
      <c r="D1074" s="826" t="s">
        <v>1593</v>
      </c>
      <c r="E1074" s="827">
        <v>22</v>
      </c>
      <c r="F1074" s="822" t="s">
        <v>1594</v>
      </c>
      <c r="G1074" s="828" t="s">
        <v>19</v>
      </c>
      <c r="H1074" s="219">
        <v>144.69999999999999</v>
      </c>
      <c r="I1074" s="307"/>
      <c r="J1074" s="823" t="s">
        <v>1177</v>
      </c>
      <c r="K1074" s="823" t="s">
        <v>1584</v>
      </c>
      <c r="L1074" s="829">
        <v>1</v>
      </c>
      <c r="M1074" s="824" t="s">
        <v>1595</v>
      </c>
    </row>
    <row r="1075" spans="1:13" ht="12.75" customHeight="1" x14ac:dyDescent="0.2">
      <c r="A1075" s="813">
        <v>9</v>
      </c>
      <c r="B1075" s="825"/>
      <c r="C1075" s="813" t="s">
        <v>1596</v>
      </c>
      <c r="D1075" s="826" t="s">
        <v>1597</v>
      </c>
      <c r="E1075" s="827">
        <v>23</v>
      </c>
      <c r="F1075" s="822" t="s">
        <v>1598</v>
      </c>
      <c r="G1075" s="828" t="s">
        <v>19</v>
      </c>
      <c r="H1075" s="219">
        <v>140.5</v>
      </c>
      <c r="I1075" s="307"/>
      <c r="J1075" s="788" t="s">
        <v>485</v>
      </c>
      <c r="K1075" s="823" t="s">
        <v>1584</v>
      </c>
      <c r="L1075" s="829">
        <v>1</v>
      </c>
      <c r="M1075" s="824" t="s">
        <v>67</v>
      </c>
    </row>
    <row r="1076" spans="1:13" ht="12.75" customHeight="1" x14ac:dyDescent="0.2">
      <c r="A1076" s="813">
        <v>9</v>
      </c>
      <c r="B1076" s="825"/>
      <c r="C1076" s="813" t="s">
        <v>1599</v>
      </c>
      <c r="D1076" s="826" t="s">
        <v>1600</v>
      </c>
      <c r="E1076" s="827">
        <v>24</v>
      </c>
      <c r="F1076" s="822" t="s">
        <v>1601</v>
      </c>
      <c r="G1076" s="828" t="s">
        <v>19</v>
      </c>
      <c r="H1076" s="219">
        <v>128.30000000000001</v>
      </c>
      <c r="I1076" s="307"/>
      <c r="J1076" s="823" t="s">
        <v>1184</v>
      </c>
      <c r="K1076" s="823" t="s">
        <v>1584</v>
      </c>
      <c r="L1076" s="829">
        <v>1</v>
      </c>
      <c r="M1076" s="824" t="s">
        <v>361</v>
      </c>
    </row>
    <row r="1077" spans="1:13" ht="12.75" customHeight="1" x14ac:dyDescent="0.2">
      <c r="A1077" s="813">
        <v>9</v>
      </c>
      <c r="B1077" s="825"/>
      <c r="C1077" s="813"/>
      <c r="D1077" s="826"/>
      <c r="E1077" s="827">
        <v>24</v>
      </c>
      <c r="F1077" s="822" t="s">
        <v>1601</v>
      </c>
      <c r="G1077" s="813" t="s">
        <v>22</v>
      </c>
      <c r="H1077" s="219">
        <v>0.3</v>
      </c>
      <c r="I1077" s="307"/>
      <c r="J1077" s="823" t="s">
        <v>1184</v>
      </c>
      <c r="K1077" s="823" t="s">
        <v>1584</v>
      </c>
      <c r="L1077" s="829">
        <v>1</v>
      </c>
      <c r="M1077" s="824" t="s">
        <v>361</v>
      </c>
    </row>
    <row r="1078" spans="1:13" ht="12.75" customHeight="1" x14ac:dyDescent="0.2">
      <c r="A1078" s="813">
        <v>9</v>
      </c>
      <c r="B1078" s="825"/>
      <c r="C1078" s="813" t="s">
        <v>1602</v>
      </c>
      <c r="D1078" s="826" t="s">
        <v>1603</v>
      </c>
      <c r="E1078" s="827">
        <v>25</v>
      </c>
      <c r="F1078" s="822" t="s">
        <v>1604</v>
      </c>
      <c r="G1078" s="828" t="s">
        <v>19</v>
      </c>
      <c r="H1078" s="219">
        <v>152.5</v>
      </c>
      <c r="I1078" s="307"/>
      <c r="J1078" s="823" t="s">
        <v>1188</v>
      </c>
      <c r="K1078" s="823" t="s">
        <v>1584</v>
      </c>
      <c r="L1078" s="829">
        <v>1</v>
      </c>
      <c r="M1078" s="824" t="s">
        <v>223</v>
      </c>
    </row>
    <row r="1079" spans="1:13" ht="12.75" customHeight="1" x14ac:dyDescent="0.2">
      <c r="A1079" s="813">
        <v>9</v>
      </c>
      <c r="B1079" s="825"/>
      <c r="C1079" s="813"/>
      <c r="D1079" s="826"/>
      <c r="E1079" s="827">
        <v>25</v>
      </c>
      <c r="F1079" s="822" t="s">
        <v>1604</v>
      </c>
      <c r="G1079" s="813" t="s">
        <v>22</v>
      </c>
      <c r="H1079" s="219"/>
      <c r="I1079" s="307"/>
      <c r="J1079" s="823" t="s">
        <v>1188</v>
      </c>
      <c r="K1079" s="823" t="s">
        <v>1584</v>
      </c>
      <c r="L1079" s="829">
        <v>1</v>
      </c>
      <c r="M1079" s="824" t="s">
        <v>223</v>
      </c>
    </row>
    <row r="1080" spans="1:13" ht="12.75" customHeight="1" x14ac:dyDescent="0.2">
      <c r="A1080" s="813">
        <v>9</v>
      </c>
      <c r="B1080" s="825"/>
      <c r="C1080" s="813" t="s">
        <v>1605</v>
      </c>
      <c r="D1080" s="826" t="s">
        <v>1606</v>
      </c>
      <c r="E1080" s="827">
        <v>26</v>
      </c>
      <c r="F1080" s="822" t="s">
        <v>1607</v>
      </c>
      <c r="G1080" s="828" t="s">
        <v>19</v>
      </c>
      <c r="H1080" s="219">
        <v>191.8</v>
      </c>
      <c r="I1080" s="307"/>
      <c r="J1080" s="823" t="s">
        <v>965</v>
      </c>
      <c r="K1080" s="823" t="s">
        <v>1584</v>
      </c>
      <c r="L1080" s="829">
        <v>1</v>
      </c>
      <c r="M1080" s="824" t="s">
        <v>190</v>
      </c>
    </row>
    <row r="1081" spans="1:13" ht="12.75" customHeight="1" x14ac:dyDescent="0.2">
      <c r="A1081" s="813">
        <v>9</v>
      </c>
      <c r="B1081" s="825"/>
      <c r="C1081" s="813" t="s">
        <v>1608</v>
      </c>
      <c r="D1081" s="826" t="s">
        <v>1609</v>
      </c>
      <c r="E1081" s="827">
        <v>27</v>
      </c>
      <c r="F1081" s="822" t="s">
        <v>1610</v>
      </c>
      <c r="G1081" s="828" t="s">
        <v>19</v>
      </c>
      <c r="H1081" s="219">
        <v>251.9</v>
      </c>
      <c r="I1081" s="307"/>
      <c r="J1081" s="823" t="s">
        <v>1611</v>
      </c>
      <c r="K1081" s="823" t="s">
        <v>1584</v>
      </c>
      <c r="L1081" s="829">
        <v>1</v>
      </c>
      <c r="M1081" s="824" t="s">
        <v>183</v>
      </c>
    </row>
    <row r="1082" spans="1:13" ht="12.75" customHeight="1" x14ac:dyDescent="0.2">
      <c r="A1082" s="813">
        <v>9</v>
      </c>
      <c r="B1082" s="825"/>
      <c r="C1082" s="813"/>
      <c r="D1082" s="826"/>
      <c r="E1082" s="827">
        <v>27</v>
      </c>
      <c r="F1082" s="822" t="s">
        <v>1610</v>
      </c>
      <c r="G1082" s="813" t="s">
        <v>22</v>
      </c>
      <c r="H1082" s="219">
        <v>1.3</v>
      </c>
      <c r="I1082" s="307"/>
      <c r="J1082" s="823" t="s">
        <v>1611</v>
      </c>
      <c r="K1082" s="823" t="s">
        <v>1584</v>
      </c>
      <c r="L1082" s="829">
        <v>1</v>
      </c>
      <c r="M1082" s="824" t="s">
        <v>183</v>
      </c>
    </row>
    <row r="1083" spans="1:13" ht="12.75" customHeight="1" x14ac:dyDescent="0.2">
      <c r="A1083" s="813">
        <v>9</v>
      </c>
      <c r="B1083" s="825"/>
      <c r="C1083" s="813" t="s">
        <v>1612</v>
      </c>
      <c r="D1083" s="826" t="s">
        <v>1613</v>
      </c>
      <c r="E1083" s="827">
        <v>28</v>
      </c>
      <c r="F1083" s="822" t="s">
        <v>1614</v>
      </c>
      <c r="G1083" s="828" t="s">
        <v>19</v>
      </c>
      <c r="H1083" s="219">
        <v>171.8</v>
      </c>
      <c r="I1083" s="307"/>
      <c r="J1083" s="823" t="s">
        <v>1200</v>
      </c>
      <c r="K1083" s="823" t="s">
        <v>1584</v>
      </c>
      <c r="L1083" s="829">
        <v>1</v>
      </c>
      <c r="M1083" s="824" t="s">
        <v>198</v>
      </c>
    </row>
    <row r="1084" spans="1:13" ht="12.75" customHeight="1" x14ac:dyDescent="0.2">
      <c r="A1084" s="813">
        <v>9</v>
      </c>
      <c r="B1084" s="825"/>
      <c r="C1084" s="813"/>
      <c r="D1084" s="826"/>
      <c r="E1084" s="827">
        <v>28</v>
      </c>
      <c r="F1084" s="822" t="s">
        <v>1614</v>
      </c>
      <c r="G1084" s="813" t="s">
        <v>22</v>
      </c>
      <c r="H1084" s="219">
        <f>0.7+2.6</f>
        <v>3.3</v>
      </c>
      <c r="I1084" s="307"/>
      <c r="J1084" s="823" t="s">
        <v>1200</v>
      </c>
      <c r="K1084" s="823" t="s">
        <v>1584</v>
      </c>
      <c r="L1084" s="829">
        <v>1</v>
      </c>
      <c r="M1084" s="824" t="s">
        <v>198</v>
      </c>
    </row>
    <row r="1085" spans="1:13" ht="12.75" customHeight="1" x14ac:dyDescent="0.2">
      <c r="A1085" s="813">
        <v>9</v>
      </c>
      <c r="B1085" s="825"/>
      <c r="C1085" s="813" t="s">
        <v>1615</v>
      </c>
      <c r="D1085" s="826" t="s">
        <v>1616</v>
      </c>
      <c r="E1085" s="827">
        <v>29</v>
      </c>
      <c r="F1085" s="822" t="s">
        <v>1617</v>
      </c>
      <c r="G1085" s="828" t="s">
        <v>19</v>
      </c>
      <c r="H1085" s="219">
        <v>197</v>
      </c>
      <c r="I1085" s="307"/>
      <c r="J1085" s="823" t="s">
        <v>1204</v>
      </c>
      <c r="K1085" s="823" t="s">
        <v>1584</v>
      </c>
      <c r="L1085" s="829">
        <v>1</v>
      </c>
      <c r="M1085" s="824" t="s">
        <v>222</v>
      </c>
    </row>
    <row r="1086" spans="1:13" ht="12.75" customHeight="1" x14ac:dyDescent="0.2">
      <c r="A1086" s="813">
        <v>9</v>
      </c>
      <c r="B1086" s="825"/>
      <c r="C1086" s="813" t="s">
        <v>1618</v>
      </c>
      <c r="D1086" s="826" t="s">
        <v>1619</v>
      </c>
      <c r="E1086" s="827">
        <v>15</v>
      </c>
      <c r="F1086" s="822" t="s">
        <v>1620</v>
      </c>
      <c r="G1086" s="828" t="s">
        <v>19</v>
      </c>
      <c r="H1086" s="219">
        <v>300</v>
      </c>
      <c r="I1086" s="307"/>
      <c r="J1086" s="823" t="s">
        <v>1621</v>
      </c>
      <c r="K1086" s="823" t="s">
        <v>1622</v>
      </c>
      <c r="L1086" s="829">
        <v>3000</v>
      </c>
      <c r="M1086" s="824"/>
    </row>
    <row r="1087" spans="1:13" ht="22.5" customHeight="1" x14ac:dyDescent="0.2">
      <c r="A1087" s="813">
        <v>9</v>
      </c>
      <c r="B1087" s="825"/>
      <c r="C1087" s="813" t="s">
        <v>1623</v>
      </c>
      <c r="D1087" s="826" t="s">
        <v>1624</v>
      </c>
      <c r="E1087" s="827">
        <v>3</v>
      </c>
      <c r="F1087" s="822" t="s">
        <v>1620</v>
      </c>
      <c r="G1087" s="828" t="s">
        <v>19</v>
      </c>
      <c r="H1087" s="219">
        <v>215</v>
      </c>
      <c r="I1087" s="307"/>
      <c r="J1087" s="823" t="s">
        <v>1621</v>
      </c>
      <c r="K1087" s="823" t="s">
        <v>1625</v>
      </c>
      <c r="L1087" s="829">
        <v>18000</v>
      </c>
      <c r="M1087" s="824"/>
    </row>
    <row r="1088" spans="1:13" ht="12.75" customHeight="1" x14ac:dyDescent="0.2">
      <c r="A1088" s="813">
        <v>9</v>
      </c>
      <c r="B1088" s="825"/>
      <c r="C1088" s="813"/>
      <c r="D1088" s="826"/>
      <c r="E1088" s="827"/>
      <c r="F1088" s="822"/>
      <c r="G1088" s="765" t="s">
        <v>247</v>
      </c>
      <c r="H1088" s="207">
        <f>SUM(H1071:H1087)</f>
        <v>2484</v>
      </c>
      <c r="I1088" s="307"/>
      <c r="J1088" s="823"/>
      <c r="K1088" s="823"/>
      <c r="L1088" s="829"/>
      <c r="M1088" s="824"/>
    </row>
    <row r="1089" spans="1:13" ht="25.5" customHeight="1" x14ac:dyDescent="0.2">
      <c r="A1089" s="813">
        <v>9</v>
      </c>
      <c r="B1089" s="757" t="s">
        <v>1626</v>
      </c>
      <c r="C1089" s="757" t="s">
        <v>1626</v>
      </c>
      <c r="D1089" s="758" t="s">
        <v>1627</v>
      </c>
      <c r="E1089" s="827"/>
      <c r="F1089" s="822"/>
      <c r="G1089" s="207" t="s">
        <v>1535</v>
      </c>
      <c r="H1089" s="207">
        <f>SUM(H1109+H1113+H1117+H1122+H1126+H1133+H1137+H1144+H1161+H1189+H1195+H1201)</f>
        <v>1695.7000000000003</v>
      </c>
      <c r="I1089" s="307" t="s">
        <v>20</v>
      </c>
      <c r="J1089" s="823"/>
      <c r="K1089" s="832"/>
      <c r="L1089" s="829"/>
      <c r="M1089" s="824"/>
    </row>
    <row r="1090" spans="1:13" ht="12.75" customHeight="1" x14ac:dyDescent="0.2">
      <c r="A1090" s="813">
        <v>9</v>
      </c>
      <c r="B1090" s="384"/>
      <c r="C1090" s="384"/>
      <c r="D1090" s="245"/>
      <c r="E1090" s="827"/>
      <c r="F1090" s="822"/>
      <c r="G1090" s="207" t="s">
        <v>1550</v>
      </c>
      <c r="H1090" s="207"/>
      <c r="I1090" s="307"/>
      <c r="J1090" s="823"/>
      <c r="K1090" s="823"/>
      <c r="L1090" s="829"/>
      <c r="M1090" s="824"/>
    </row>
    <row r="1091" spans="1:13" ht="12.75" customHeight="1" x14ac:dyDescent="0.2">
      <c r="A1091" s="813">
        <v>9</v>
      </c>
      <c r="B1091" s="384"/>
      <c r="C1091" s="384"/>
      <c r="D1091" s="245"/>
      <c r="E1091" s="827"/>
      <c r="F1091" s="822"/>
      <c r="G1091" s="207" t="s">
        <v>2160</v>
      </c>
      <c r="H1091" s="207">
        <f>H1217</f>
        <v>900</v>
      </c>
      <c r="I1091" s="307"/>
      <c r="J1091" s="823"/>
      <c r="K1091" s="823"/>
      <c r="L1091" s="829"/>
      <c r="M1091" s="824"/>
    </row>
    <row r="1092" spans="1:13" ht="12.75" customHeight="1" x14ac:dyDescent="0.2">
      <c r="A1092" s="813">
        <v>9</v>
      </c>
      <c r="B1092" s="825"/>
      <c r="C1092" s="813"/>
      <c r="D1092" s="826"/>
      <c r="E1092" s="827"/>
      <c r="F1092" s="822"/>
      <c r="G1092" s="207" t="s">
        <v>1536</v>
      </c>
      <c r="H1092" s="207">
        <f>SUM(H1104+H1107+H1111+H1115+H1120+H1124+H1128+H1131+H1135+H1142+H1146+H1148+H1150+H1152+H1154+H1156+H1158+H1162+H1163+H1164+H1165+H1168+H1190+H1193+H1197+H1200)</f>
        <v>187.20000000000002</v>
      </c>
      <c r="I1092" s="307"/>
      <c r="J1092" s="823"/>
      <c r="K1092" s="823"/>
      <c r="L1092" s="829"/>
      <c r="M1092" s="824"/>
    </row>
    <row r="1093" spans="1:13" ht="12.75" customHeight="1" x14ac:dyDescent="0.2">
      <c r="A1093" s="813">
        <v>9</v>
      </c>
      <c r="B1093" s="825"/>
      <c r="C1093" s="813"/>
      <c r="D1093" s="826"/>
      <c r="E1093" s="827"/>
      <c r="F1093" s="822"/>
      <c r="G1093" s="207" t="s">
        <v>1628</v>
      </c>
      <c r="H1093" s="207">
        <f>SUM(H1105,H1108,H1112,H1116,H1121,H1125,H1129,H1132,H1136,H1143,H1147,H1149,H1151,H1153,H1155,H1157,H1159,H1169,H1172,H1174,H1176,H1179,H1181,H1184,H1186,H1188,H1194,H1198)</f>
        <v>700.00000000000023</v>
      </c>
      <c r="I1093" s="307"/>
      <c r="J1093" s="823"/>
      <c r="K1093" s="823"/>
      <c r="L1093" s="829"/>
      <c r="M1093" s="824"/>
    </row>
    <row r="1094" spans="1:13" ht="12.75" customHeight="1" x14ac:dyDescent="0.2">
      <c r="A1094" s="813">
        <v>9</v>
      </c>
      <c r="B1094" s="825"/>
      <c r="C1094" s="813"/>
      <c r="D1094" s="826"/>
      <c r="E1094" s="827"/>
      <c r="F1094" s="822"/>
      <c r="G1094" s="207" t="s">
        <v>1629</v>
      </c>
      <c r="H1094" s="207">
        <f t="shared" ref="H1094:H1095" si="14">SUM(H1140)</f>
        <v>7.3</v>
      </c>
      <c r="I1094" s="307"/>
      <c r="J1094" s="823"/>
      <c r="K1094" s="823"/>
      <c r="L1094" s="829"/>
      <c r="M1094" s="824"/>
    </row>
    <row r="1095" spans="1:13" ht="12.75" customHeight="1" x14ac:dyDescent="0.2">
      <c r="A1095" s="813">
        <v>9</v>
      </c>
      <c r="B1095" s="825"/>
      <c r="C1095" s="813"/>
      <c r="D1095" s="826"/>
      <c r="E1095" s="827"/>
      <c r="F1095" s="822"/>
      <c r="G1095" s="207" t="s">
        <v>1630</v>
      </c>
      <c r="H1095" s="207">
        <f t="shared" si="14"/>
        <v>7.3</v>
      </c>
      <c r="I1095" s="307"/>
      <c r="J1095" s="823"/>
      <c r="K1095" s="823"/>
      <c r="L1095" s="829"/>
      <c r="M1095" s="824"/>
    </row>
    <row r="1096" spans="1:13" ht="12.75" customHeight="1" x14ac:dyDescent="0.2">
      <c r="A1096" s="813">
        <v>9</v>
      </c>
      <c r="B1096" s="825"/>
      <c r="C1096" s="813"/>
      <c r="D1096" s="826"/>
      <c r="E1096" s="827"/>
      <c r="F1096" s="822"/>
      <c r="G1096" s="207" t="s">
        <v>1631</v>
      </c>
      <c r="H1096" s="207">
        <f>H1166</f>
        <v>0</v>
      </c>
      <c r="I1096" s="307"/>
      <c r="J1096" s="823"/>
      <c r="K1096" s="823"/>
      <c r="L1096" s="829"/>
      <c r="M1096" s="824"/>
    </row>
    <row r="1097" spans="1:13" ht="12.75" customHeight="1" x14ac:dyDescent="0.2">
      <c r="A1097" s="813">
        <v>9</v>
      </c>
      <c r="B1097" s="825"/>
      <c r="C1097" s="813"/>
      <c r="D1097" s="826"/>
      <c r="E1097" s="827"/>
      <c r="F1097" s="822"/>
      <c r="G1097" s="207" t="s">
        <v>1632</v>
      </c>
      <c r="H1097" s="207"/>
      <c r="I1097" s="307"/>
      <c r="J1097" s="823"/>
      <c r="K1097" s="823"/>
      <c r="L1097" s="829"/>
      <c r="M1097" s="824"/>
    </row>
    <row r="1098" spans="1:13" ht="12.75" customHeight="1" x14ac:dyDescent="0.2">
      <c r="A1098" s="813">
        <v>9</v>
      </c>
      <c r="B1098" s="825"/>
      <c r="C1098" s="813"/>
      <c r="D1098" s="826"/>
      <c r="E1098" s="827"/>
      <c r="F1098" s="822"/>
      <c r="G1098" s="207" t="s">
        <v>1633</v>
      </c>
      <c r="H1098" s="207"/>
      <c r="I1098" s="307"/>
      <c r="J1098" s="823"/>
      <c r="K1098" s="823"/>
      <c r="L1098" s="829"/>
      <c r="M1098" s="824"/>
    </row>
    <row r="1099" spans="1:13" ht="12.75" customHeight="1" x14ac:dyDescent="0.2">
      <c r="A1099" s="813">
        <v>9</v>
      </c>
      <c r="B1099" s="825"/>
      <c r="C1099" s="813"/>
      <c r="D1099" s="826"/>
      <c r="E1099" s="827"/>
      <c r="F1099" s="822"/>
      <c r="G1099" s="207" t="s">
        <v>1634</v>
      </c>
      <c r="H1099" s="207">
        <f>SUM(H1203+H1206+H1209)</f>
        <v>62.8</v>
      </c>
      <c r="I1099" s="307"/>
      <c r="J1099" s="823"/>
      <c r="K1099" s="823"/>
      <c r="L1099" s="829"/>
      <c r="M1099" s="824"/>
    </row>
    <row r="1100" spans="1:13" ht="12.75" customHeight="1" x14ac:dyDescent="0.2">
      <c r="A1100" s="813">
        <v>9</v>
      </c>
      <c r="B1100" s="825"/>
      <c r="C1100" s="813"/>
      <c r="D1100" s="826"/>
      <c r="E1100" s="827"/>
      <c r="F1100" s="822"/>
      <c r="G1100" s="207" t="s">
        <v>1635</v>
      </c>
      <c r="H1100" s="207">
        <f>SUM(H1204+H1207+H1210)</f>
        <v>15.799999999999999</v>
      </c>
      <c r="I1100" s="307"/>
      <c r="J1100" s="823"/>
      <c r="K1100" s="823"/>
      <c r="L1100" s="829"/>
      <c r="M1100" s="824"/>
    </row>
    <row r="1101" spans="1:13" ht="12.75" customHeight="1" x14ac:dyDescent="0.2">
      <c r="A1101" s="813">
        <v>9</v>
      </c>
      <c r="B1101" s="825"/>
      <c r="C1101" s="813"/>
      <c r="D1101" s="826"/>
      <c r="E1101" s="827"/>
      <c r="F1101" s="822"/>
      <c r="G1101" s="207" t="s">
        <v>1636</v>
      </c>
      <c r="H1101" s="207">
        <f>H1145</f>
        <v>20.2</v>
      </c>
      <c r="I1101" s="307"/>
      <c r="J1101" s="823"/>
      <c r="K1101" s="823"/>
      <c r="L1101" s="829"/>
      <c r="M1101" s="824"/>
    </row>
    <row r="1102" spans="1:13" ht="12.75" customHeight="1" x14ac:dyDescent="0.2">
      <c r="A1102" s="813">
        <v>9</v>
      </c>
      <c r="B1102" s="825"/>
      <c r="C1102" s="813"/>
      <c r="D1102" s="826"/>
      <c r="E1102" s="827"/>
      <c r="F1102" s="827"/>
      <c r="G1102" s="207" t="s">
        <v>1637</v>
      </c>
      <c r="H1102" s="207">
        <f>H1138</f>
        <v>0</v>
      </c>
      <c r="I1102" s="307"/>
      <c r="J1102" s="823"/>
      <c r="K1102" s="823"/>
      <c r="L1102" s="829"/>
      <c r="M1102" s="824"/>
    </row>
    <row r="1103" spans="1:13" ht="12.75" customHeight="1" x14ac:dyDescent="0.2">
      <c r="A1103" s="813">
        <v>9</v>
      </c>
      <c r="B1103" s="825"/>
      <c r="C1103" s="813"/>
      <c r="D1103" s="826"/>
      <c r="E1103" s="827"/>
      <c r="F1103" s="822"/>
      <c r="G1103" s="760" t="s">
        <v>247</v>
      </c>
      <c r="H1103" s="761">
        <f>SUM(H1089:H1102)</f>
        <v>3596.3000000000011</v>
      </c>
      <c r="I1103" s="307"/>
      <c r="J1103" s="823"/>
      <c r="K1103" s="161"/>
      <c r="L1103" s="45"/>
      <c r="M1103" s="824"/>
    </row>
    <row r="1104" spans="1:13" ht="33.75" x14ac:dyDescent="0.2">
      <c r="A1104" s="813">
        <v>9</v>
      </c>
      <c r="B1104" s="825"/>
      <c r="C1104" s="813" t="s">
        <v>1638</v>
      </c>
      <c r="D1104" s="766" t="s">
        <v>1639</v>
      </c>
      <c r="E1104" s="732">
        <v>33</v>
      </c>
      <c r="F1104" s="822" t="s">
        <v>1640</v>
      </c>
      <c r="G1104" s="767" t="s">
        <v>21</v>
      </c>
      <c r="H1104" s="219"/>
      <c r="I1104" s="307"/>
      <c r="J1104" s="823" t="s">
        <v>1641</v>
      </c>
      <c r="K1104" s="823" t="s">
        <v>1642</v>
      </c>
      <c r="L1104" s="829">
        <v>1254</v>
      </c>
      <c r="M1104" s="824"/>
    </row>
    <row r="1105" spans="1:13" ht="12.75" customHeight="1" x14ac:dyDescent="0.2">
      <c r="A1105" s="813">
        <v>9</v>
      </c>
      <c r="B1105" s="825"/>
      <c r="C1105" s="813"/>
      <c r="D1105" s="766"/>
      <c r="E1105" s="732">
        <v>33</v>
      </c>
      <c r="F1105" s="822" t="s">
        <v>1640</v>
      </c>
      <c r="G1105" s="311" t="s">
        <v>268</v>
      </c>
      <c r="H1105" s="219">
        <v>1.2</v>
      </c>
      <c r="I1105" s="307"/>
      <c r="J1105" s="823"/>
      <c r="K1105" s="161"/>
      <c r="L1105" s="45"/>
      <c r="M1105" s="824"/>
    </row>
    <row r="1106" spans="1:13" ht="12.75" customHeight="1" x14ac:dyDescent="0.2">
      <c r="A1106" s="813">
        <v>9</v>
      </c>
      <c r="B1106" s="825"/>
      <c r="C1106" s="813"/>
      <c r="D1106" s="766"/>
      <c r="E1106" s="732">
        <v>33</v>
      </c>
      <c r="F1106" s="822" t="s">
        <v>1640</v>
      </c>
      <c r="G1106" s="768" t="s">
        <v>247</v>
      </c>
      <c r="H1106" s="769">
        <f>SUM(H1104,H1105)</f>
        <v>1.2</v>
      </c>
      <c r="I1106" s="307"/>
      <c r="J1106" s="823"/>
      <c r="K1106" s="161"/>
      <c r="L1106" s="45"/>
      <c r="M1106" s="824"/>
    </row>
    <row r="1107" spans="1:13" ht="22.5" customHeight="1" x14ac:dyDescent="0.2">
      <c r="A1107" s="813">
        <v>9</v>
      </c>
      <c r="B1107" s="825"/>
      <c r="C1107" s="813" t="s">
        <v>1643</v>
      </c>
      <c r="D1107" s="766" t="s">
        <v>1644</v>
      </c>
      <c r="E1107" s="732">
        <v>3</v>
      </c>
      <c r="F1107" s="822" t="s">
        <v>1645</v>
      </c>
      <c r="G1107" s="767" t="s">
        <v>21</v>
      </c>
      <c r="H1107" s="219"/>
      <c r="I1107" s="307"/>
      <c r="J1107" s="823" t="s">
        <v>1646</v>
      </c>
      <c r="K1107" s="823" t="s">
        <v>1647</v>
      </c>
      <c r="L1107" s="829">
        <v>1</v>
      </c>
      <c r="M1107" s="833"/>
    </row>
    <row r="1108" spans="1:13" ht="12.75" customHeight="1" x14ac:dyDescent="0.2">
      <c r="A1108" s="813">
        <v>9</v>
      </c>
      <c r="B1108" s="825"/>
      <c r="C1108" s="813"/>
      <c r="D1108" s="766"/>
      <c r="E1108" s="732">
        <v>3</v>
      </c>
      <c r="F1108" s="822" t="s">
        <v>1645</v>
      </c>
      <c r="G1108" s="311" t="s">
        <v>268</v>
      </c>
      <c r="H1108" s="219">
        <f>24.7+0.1</f>
        <v>24.8</v>
      </c>
      <c r="I1108" s="307"/>
      <c r="J1108" s="823"/>
      <c r="K1108" s="161"/>
      <c r="L1108" s="45"/>
      <c r="M1108" s="834"/>
    </row>
    <row r="1109" spans="1:13" ht="22.5" customHeight="1" x14ac:dyDescent="0.2">
      <c r="A1109" s="813">
        <v>9</v>
      </c>
      <c r="B1109" s="825"/>
      <c r="C1109" s="813"/>
      <c r="D1109" s="766"/>
      <c r="E1109" s="732">
        <v>3</v>
      </c>
      <c r="F1109" s="822" t="s">
        <v>1645</v>
      </c>
      <c r="G1109" s="311" t="s">
        <v>19</v>
      </c>
      <c r="H1109" s="219">
        <v>46.4</v>
      </c>
      <c r="I1109" s="307"/>
      <c r="J1109" s="823" t="s">
        <v>1646</v>
      </c>
      <c r="K1109" s="823" t="s">
        <v>1647</v>
      </c>
      <c r="L1109" s="829">
        <v>1</v>
      </c>
      <c r="M1109" s="142"/>
    </row>
    <row r="1110" spans="1:13" ht="12.75" customHeight="1" x14ac:dyDescent="0.2">
      <c r="A1110" s="813">
        <v>9</v>
      </c>
      <c r="B1110" s="825"/>
      <c r="C1110" s="813"/>
      <c r="D1110" s="766"/>
      <c r="E1110" s="732">
        <v>3</v>
      </c>
      <c r="F1110" s="822" t="s">
        <v>1645</v>
      </c>
      <c r="G1110" s="768" t="s">
        <v>247</v>
      </c>
      <c r="H1110" s="769">
        <f>SUM(H1107+H1109+H1108)</f>
        <v>71.2</v>
      </c>
      <c r="I1110" s="307"/>
      <c r="J1110" s="823"/>
      <c r="K1110" s="161"/>
      <c r="L1110" s="45"/>
      <c r="M1110" s="834"/>
    </row>
    <row r="1111" spans="1:13" ht="12.75" customHeight="1" x14ac:dyDescent="0.2">
      <c r="A1111" s="813">
        <v>9</v>
      </c>
      <c r="B1111" s="825"/>
      <c r="C1111" s="813" t="s">
        <v>1648</v>
      </c>
      <c r="D1111" s="766" t="s">
        <v>1649</v>
      </c>
      <c r="E1111" s="732">
        <v>16</v>
      </c>
      <c r="F1111" s="822" t="s">
        <v>1650</v>
      </c>
      <c r="G1111" s="767" t="s">
        <v>21</v>
      </c>
      <c r="H1111" s="219"/>
      <c r="I1111" s="307"/>
      <c r="J1111" s="971" t="s">
        <v>2138</v>
      </c>
      <c r="K1111" s="823" t="s">
        <v>1647</v>
      </c>
      <c r="L1111" s="829">
        <v>1</v>
      </c>
      <c r="M1111" s="834"/>
    </row>
    <row r="1112" spans="1:13" ht="12.75" customHeight="1" x14ac:dyDescent="0.2">
      <c r="A1112" s="813">
        <v>9</v>
      </c>
      <c r="B1112" s="825"/>
      <c r="C1112" s="813"/>
      <c r="D1112" s="766"/>
      <c r="E1112" s="732">
        <v>16</v>
      </c>
      <c r="F1112" s="822" t="s">
        <v>1650</v>
      </c>
      <c r="G1112" s="311" t="s">
        <v>268</v>
      </c>
      <c r="H1112" s="219">
        <v>22.9</v>
      </c>
      <c r="I1112" s="307"/>
      <c r="J1112" s="823"/>
      <c r="K1112" s="161"/>
      <c r="L1112" s="45"/>
      <c r="M1112" s="835"/>
    </row>
    <row r="1113" spans="1:13" ht="12.75" customHeight="1" x14ac:dyDescent="0.2">
      <c r="A1113" s="813">
        <v>9</v>
      </c>
      <c r="B1113" s="825"/>
      <c r="C1113" s="813"/>
      <c r="D1113" s="766"/>
      <c r="E1113" s="732">
        <v>16</v>
      </c>
      <c r="F1113" s="822" t="s">
        <v>1650</v>
      </c>
      <c r="G1113" s="311" t="s">
        <v>19</v>
      </c>
      <c r="H1113" s="219">
        <v>15.4</v>
      </c>
      <c r="I1113" s="307"/>
      <c r="J1113" s="823"/>
      <c r="K1113" s="161"/>
      <c r="L1113" s="45"/>
      <c r="M1113" s="824"/>
    </row>
    <row r="1114" spans="1:13" ht="12.75" customHeight="1" x14ac:dyDescent="0.2">
      <c r="A1114" s="813">
        <v>9</v>
      </c>
      <c r="B1114" s="825"/>
      <c r="C1114" s="813"/>
      <c r="D1114" s="766"/>
      <c r="E1114" s="732">
        <v>16</v>
      </c>
      <c r="F1114" s="822" t="s">
        <v>1650</v>
      </c>
      <c r="G1114" s="768" t="s">
        <v>247</v>
      </c>
      <c r="H1114" s="769">
        <f>SUM(H1111+H1113+H1112)</f>
        <v>38.299999999999997</v>
      </c>
      <c r="I1114" s="307"/>
      <c r="J1114" s="823"/>
      <c r="K1114" s="161"/>
      <c r="L1114" s="45"/>
      <c r="M1114" s="824"/>
    </row>
    <row r="1115" spans="1:13" ht="27.6" customHeight="1" x14ac:dyDescent="0.2">
      <c r="A1115" s="813">
        <v>9</v>
      </c>
      <c r="B1115" s="825"/>
      <c r="C1115" s="813" t="s">
        <v>1651</v>
      </c>
      <c r="D1115" s="766" t="s">
        <v>1652</v>
      </c>
      <c r="E1115" s="732">
        <v>3</v>
      </c>
      <c r="F1115" s="822" t="s">
        <v>1653</v>
      </c>
      <c r="G1115" s="767" t="s">
        <v>21</v>
      </c>
      <c r="H1115" s="219"/>
      <c r="I1115" s="307"/>
      <c r="J1115" s="823"/>
      <c r="K1115" s="823"/>
      <c r="L1115" s="829"/>
      <c r="M1115" s="824"/>
    </row>
    <row r="1116" spans="1:13" ht="12.75" customHeight="1" x14ac:dyDescent="0.2">
      <c r="A1116" s="813">
        <v>9</v>
      </c>
      <c r="B1116" s="825"/>
      <c r="C1116" s="813"/>
      <c r="D1116" s="766"/>
      <c r="E1116" s="732">
        <v>3</v>
      </c>
      <c r="F1116" s="822" t="s">
        <v>1653</v>
      </c>
      <c r="G1116" s="311" t="s">
        <v>268</v>
      </c>
      <c r="H1116" s="219">
        <v>9</v>
      </c>
      <c r="I1116" s="307"/>
      <c r="J1116" s="823"/>
      <c r="K1116" s="161"/>
      <c r="L1116" s="45"/>
      <c r="M1116" s="824"/>
    </row>
    <row r="1117" spans="1:13" ht="12.75" customHeight="1" x14ac:dyDescent="0.2">
      <c r="A1117" s="813">
        <v>9</v>
      </c>
      <c r="B1117" s="825"/>
      <c r="C1117" s="813"/>
      <c r="D1117" s="766"/>
      <c r="E1117" s="732">
        <v>3</v>
      </c>
      <c r="F1117" s="822" t="s">
        <v>1653</v>
      </c>
      <c r="G1117" s="311" t="s">
        <v>19</v>
      </c>
      <c r="H1117" s="219">
        <v>41.4</v>
      </c>
      <c r="I1117" s="307"/>
      <c r="J1117" s="971" t="s">
        <v>2139</v>
      </c>
      <c r="K1117" s="823" t="s">
        <v>1647</v>
      </c>
      <c r="L1117" s="829">
        <v>1</v>
      </c>
      <c r="M1117" s="824"/>
    </row>
    <row r="1118" spans="1:13" ht="12.75" customHeight="1" x14ac:dyDescent="0.2">
      <c r="A1118" s="813">
        <v>9</v>
      </c>
      <c r="B1118" s="825"/>
      <c r="C1118" s="813"/>
      <c r="D1118" s="766"/>
      <c r="E1118" s="732">
        <v>3</v>
      </c>
      <c r="F1118" s="822" t="s">
        <v>1653</v>
      </c>
      <c r="G1118" s="767" t="s">
        <v>249</v>
      </c>
      <c r="H1118" s="219"/>
      <c r="I1118" s="307"/>
      <c r="J1118" s="823"/>
      <c r="K1118" s="161"/>
      <c r="L1118" s="45"/>
      <c r="M1118" s="824"/>
    </row>
    <row r="1119" spans="1:13" ht="12.75" customHeight="1" x14ac:dyDescent="0.2">
      <c r="A1119" s="813">
        <v>9</v>
      </c>
      <c r="B1119" s="825"/>
      <c r="C1119" s="813"/>
      <c r="D1119" s="766"/>
      <c r="E1119" s="732">
        <v>3</v>
      </c>
      <c r="F1119" s="822" t="s">
        <v>1653</v>
      </c>
      <c r="G1119" s="768" t="s">
        <v>247</v>
      </c>
      <c r="H1119" s="769">
        <f>SUM(H1115+H1117+H1118+H1116)</f>
        <v>50.4</v>
      </c>
      <c r="I1119" s="307"/>
      <c r="J1119" s="823"/>
      <c r="K1119" s="161"/>
      <c r="L1119" s="45"/>
      <c r="M1119" s="824"/>
    </row>
    <row r="1120" spans="1:13" ht="51" customHeight="1" x14ac:dyDescent="0.2">
      <c r="A1120" s="813">
        <v>9</v>
      </c>
      <c r="B1120" s="825"/>
      <c r="C1120" s="813" t="s">
        <v>1654</v>
      </c>
      <c r="D1120" s="766" t="s">
        <v>1655</v>
      </c>
      <c r="E1120" s="732">
        <v>33</v>
      </c>
      <c r="F1120" s="822" t="s">
        <v>1656</v>
      </c>
      <c r="G1120" s="767" t="s">
        <v>21</v>
      </c>
      <c r="H1120" s="219"/>
      <c r="I1120" s="307"/>
      <c r="J1120" s="823" t="s">
        <v>1657</v>
      </c>
      <c r="K1120" s="823" t="s">
        <v>1658</v>
      </c>
      <c r="L1120" s="829">
        <v>65</v>
      </c>
      <c r="M1120" s="824"/>
    </row>
    <row r="1121" spans="1:13" ht="12.75" customHeight="1" x14ac:dyDescent="0.2">
      <c r="A1121" s="813">
        <v>9</v>
      </c>
      <c r="B1121" s="825"/>
      <c r="C1121" s="813"/>
      <c r="D1121" s="766"/>
      <c r="E1121" s="732">
        <v>33</v>
      </c>
      <c r="F1121" s="822" t="s">
        <v>1656</v>
      </c>
      <c r="G1121" s="311" t="s">
        <v>268</v>
      </c>
      <c r="H1121" s="219">
        <v>35.9</v>
      </c>
      <c r="I1121" s="307"/>
      <c r="J1121" s="823"/>
      <c r="K1121" s="161"/>
      <c r="L1121" s="45"/>
      <c r="M1121" s="824"/>
    </row>
    <row r="1122" spans="1:13" ht="36.75" customHeight="1" x14ac:dyDescent="0.2">
      <c r="A1122" s="813">
        <v>9</v>
      </c>
      <c r="B1122" s="825"/>
      <c r="C1122" s="813"/>
      <c r="D1122" s="766"/>
      <c r="E1122" s="732">
        <v>33</v>
      </c>
      <c r="F1122" s="822" t="s">
        <v>1656</v>
      </c>
      <c r="G1122" s="311" t="s">
        <v>19</v>
      </c>
      <c r="H1122" s="219">
        <v>116.9</v>
      </c>
      <c r="I1122" s="307"/>
      <c r="J1122" s="823" t="s">
        <v>1659</v>
      </c>
      <c r="K1122" s="823" t="s">
        <v>1658</v>
      </c>
      <c r="L1122" s="829">
        <v>65</v>
      </c>
      <c r="M1122" s="824"/>
    </row>
    <row r="1123" spans="1:13" ht="12.75" customHeight="1" x14ac:dyDescent="0.2">
      <c r="A1123" s="813">
        <v>9</v>
      </c>
      <c r="B1123" s="825"/>
      <c r="C1123" s="813"/>
      <c r="D1123" s="766"/>
      <c r="E1123" s="732">
        <v>33</v>
      </c>
      <c r="F1123" s="822" t="s">
        <v>1656</v>
      </c>
      <c r="G1123" s="768" t="s">
        <v>247</v>
      </c>
      <c r="H1123" s="769">
        <f>SUM(H1120+H1122+H1121)</f>
        <v>152.80000000000001</v>
      </c>
      <c r="I1123" s="307"/>
      <c r="J1123" s="823"/>
      <c r="K1123" s="161"/>
      <c r="L1123" s="45"/>
      <c r="M1123" s="824"/>
    </row>
    <row r="1124" spans="1:13" ht="36.6" customHeight="1" x14ac:dyDescent="0.2">
      <c r="A1124" s="813">
        <v>9</v>
      </c>
      <c r="B1124" s="825"/>
      <c r="C1124" s="813" t="s">
        <v>1660</v>
      </c>
      <c r="D1124" s="766" t="s">
        <v>1661</v>
      </c>
      <c r="E1124" s="732">
        <v>36</v>
      </c>
      <c r="F1124" s="822" t="s">
        <v>1662</v>
      </c>
      <c r="G1124" s="767" t="s">
        <v>21</v>
      </c>
      <c r="H1124" s="219"/>
      <c r="I1124" s="307"/>
      <c r="J1124" s="823" t="s">
        <v>1663</v>
      </c>
      <c r="K1124" s="823" t="s">
        <v>1647</v>
      </c>
      <c r="L1124" s="829">
        <v>1</v>
      </c>
      <c r="M1124" s="824"/>
    </row>
    <row r="1125" spans="1:13" ht="12.75" customHeight="1" x14ac:dyDescent="0.2">
      <c r="A1125" s="813">
        <v>9</v>
      </c>
      <c r="B1125" s="825"/>
      <c r="C1125" s="813"/>
      <c r="D1125" s="766"/>
      <c r="E1125" s="732">
        <v>36</v>
      </c>
      <c r="F1125" s="822" t="s">
        <v>1662</v>
      </c>
      <c r="G1125" s="311" t="s">
        <v>268</v>
      </c>
      <c r="H1125" s="219">
        <v>66.5</v>
      </c>
      <c r="I1125" s="307"/>
      <c r="J1125" s="823"/>
      <c r="K1125" s="161"/>
      <c r="L1125" s="45"/>
      <c r="M1125" s="824"/>
    </row>
    <row r="1126" spans="1:13" ht="32.450000000000003" customHeight="1" x14ac:dyDescent="0.2">
      <c r="A1126" s="813">
        <v>9</v>
      </c>
      <c r="B1126" s="825"/>
      <c r="C1126" s="813"/>
      <c r="D1126" s="766"/>
      <c r="E1126" s="732">
        <v>36</v>
      </c>
      <c r="F1126" s="822" t="s">
        <v>1662</v>
      </c>
      <c r="G1126" s="311" t="s">
        <v>19</v>
      </c>
      <c r="H1126" s="219">
        <v>50.5</v>
      </c>
      <c r="I1126" s="307"/>
      <c r="J1126" s="823" t="s">
        <v>1663</v>
      </c>
      <c r="K1126" s="823" t="s">
        <v>1647</v>
      </c>
      <c r="L1126" s="829">
        <v>1</v>
      </c>
      <c r="M1126" s="824"/>
    </row>
    <row r="1127" spans="1:13" ht="12.75" customHeight="1" x14ac:dyDescent="0.2">
      <c r="A1127" s="813">
        <v>9</v>
      </c>
      <c r="B1127" s="825"/>
      <c r="C1127" s="813"/>
      <c r="D1127" s="766"/>
      <c r="E1127" s="732">
        <v>36</v>
      </c>
      <c r="F1127" s="822" t="s">
        <v>1662</v>
      </c>
      <c r="G1127" s="768" t="s">
        <v>247</v>
      </c>
      <c r="H1127" s="769">
        <f>SUM(H1124+H1126+H1125)</f>
        <v>117</v>
      </c>
      <c r="I1127" s="307"/>
      <c r="J1127" s="823"/>
      <c r="K1127" s="161"/>
      <c r="L1127" s="45"/>
      <c r="M1127" s="824"/>
    </row>
    <row r="1128" spans="1:13" ht="44.45" customHeight="1" x14ac:dyDescent="0.2">
      <c r="A1128" s="813">
        <v>9</v>
      </c>
      <c r="B1128" s="825"/>
      <c r="C1128" s="813" t="s">
        <v>1664</v>
      </c>
      <c r="D1128" s="766" t="s">
        <v>1665</v>
      </c>
      <c r="E1128" s="311">
        <v>12</v>
      </c>
      <c r="F1128" s="813" t="s">
        <v>1666</v>
      </c>
      <c r="G1128" s="767" t="s">
        <v>21</v>
      </c>
      <c r="H1128" s="219"/>
      <c r="I1128" s="307"/>
      <c r="J1128" s="823" t="s">
        <v>1667</v>
      </c>
      <c r="K1128" s="823" t="s">
        <v>1668</v>
      </c>
      <c r="L1128" s="829">
        <v>159</v>
      </c>
      <c r="M1128" s="824"/>
    </row>
    <row r="1129" spans="1:13" ht="12.75" customHeight="1" x14ac:dyDescent="0.2">
      <c r="A1129" s="813">
        <v>9</v>
      </c>
      <c r="B1129" s="825"/>
      <c r="C1129" s="813"/>
      <c r="D1129" s="766"/>
      <c r="E1129" s="311">
        <v>12</v>
      </c>
      <c r="F1129" s="813" t="s">
        <v>1666</v>
      </c>
      <c r="G1129" s="311" t="s">
        <v>268</v>
      </c>
      <c r="H1129" s="219">
        <v>5.9</v>
      </c>
      <c r="I1129" s="307"/>
      <c r="J1129" s="823"/>
      <c r="K1129" s="161"/>
      <c r="L1129" s="45"/>
      <c r="M1129" s="824"/>
    </row>
    <row r="1130" spans="1:13" ht="12.75" customHeight="1" x14ac:dyDescent="0.2">
      <c r="A1130" s="813">
        <v>9</v>
      </c>
      <c r="B1130" s="825"/>
      <c r="C1130" s="813"/>
      <c r="D1130" s="766"/>
      <c r="E1130" s="732">
        <v>12</v>
      </c>
      <c r="F1130" s="822" t="s">
        <v>1666</v>
      </c>
      <c r="G1130" s="768" t="s">
        <v>247</v>
      </c>
      <c r="H1130" s="769">
        <f>SUM(H1128,H1129)</f>
        <v>5.9</v>
      </c>
      <c r="I1130" s="307"/>
      <c r="J1130" s="823"/>
      <c r="K1130" s="161"/>
      <c r="L1130" s="45"/>
      <c r="M1130" s="824"/>
    </row>
    <row r="1131" spans="1:13" ht="12.75" customHeight="1" x14ac:dyDescent="0.2">
      <c r="A1131" s="813">
        <v>9</v>
      </c>
      <c r="B1131" s="825"/>
      <c r="C1131" s="813" t="s">
        <v>1669</v>
      </c>
      <c r="D1131" s="209" t="s">
        <v>1670</v>
      </c>
      <c r="E1131" s="732">
        <v>39</v>
      </c>
      <c r="F1131" s="822" t="s">
        <v>1671</v>
      </c>
      <c r="G1131" s="767" t="s">
        <v>21</v>
      </c>
      <c r="H1131" s="219"/>
      <c r="I1131" s="307"/>
      <c r="J1131" s="971" t="s">
        <v>2140</v>
      </c>
      <c r="K1131" s="823" t="s">
        <v>1647</v>
      </c>
      <c r="L1131" s="829">
        <v>1</v>
      </c>
      <c r="M1131" s="824"/>
    </row>
    <row r="1132" spans="1:13" ht="12.75" customHeight="1" x14ac:dyDescent="0.2">
      <c r="A1132" s="813">
        <v>9</v>
      </c>
      <c r="B1132" s="825"/>
      <c r="C1132" s="813"/>
      <c r="D1132" s="766"/>
      <c r="E1132" s="732">
        <v>39</v>
      </c>
      <c r="F1132" s="822" t="s">
        <v>1671</v>
      </c>
      <c r="G1132" s="311" t="s">
        <v>268</v>
      </c>
      <c r="H1132" s="219">
        <v>85.9</v>
      </c>
      <c r="I1132" s="307"/>
      <c r="J1132" s="823"/>
      <c r="K1132" s="161"/>
      <c r="L1132" s="45"/>
      <c r="M1132" s="824"/>
    </row>
    <row r="1133" spans="1:13" ht="12.75" customHeight="1" x14ac:dyDescent="0.2">
      <c r="A1133" s="813">
        <v>9</v>
      </c>
      <c r="B1133" s="825"/>
      <c r="C1133" s="813"/>
      <c r="D1133" s="766"/>
      <c r="E1133" s="732">
        <v>39</v>
      </c>
      <c r="F1133" s="822" t="s">
        <v>1671</v>
      </c>
      <c r="G1133" s="311" t="s">
        <v>19</v>
      </c>
      <c r="H1133" s="219">
        <v>27.6</v>
      </c>
      <c r="I1133" s="307"/>
      <c r="J1133" s="823"/>
      <c r="K1133" s="161"/>
      <c r="L1133" s="45"/>
      <c r="M1133" s="824"/>
    </row>
    <row r="1134" spans="1:13" ht="12.75" customHeight="1" x14ac:dyDescent="0.2">
      <c r="A1134" s="813">
        <v>9</v>
      </c>
      <c r="B1134" s="825"/>
      <c r="C1134" s="813"/>
      <c r="D1134" s="766"/>
      <c r="E1134" s="732">
        <v>39</v>
      </c>
      <c r="F1134" s="822" t="s">
        <v>1671</v>
      </c>
      <c r="G1134" s="768" t="s">
        <v>247</v>
      </c>
      <c r="H1134" s="769">
        <f>SUM(H1131+H1133+H1132)</f>
        <v>113.5</v>
      </c>
      <c r="I1134" s="307"/>
      <c r="J1134" s="823"/>
      <c r="K1134" s="161"/>
      <c r="L1134" s="45"/>
      <c r="M1134" s="824"/>
    </row>
    <row r="1135" spans="1:13" ht="22.5" x14ac:dyDescent="0.2">
      <c r="A1135" s="813">
        <v>9</v>
      </c>
      <c r="B1135" s="825"/>
      <c r="C1135" s="813" t="s">
        <v>1672</v>
      </c>
      <c r="D1135" s="766" t="s">
        <v>1673</v>
      </c>
      <c r="E1135" s="732">
        <v>13</v>
      </c>
      <c r="F1135" s="822" t="s">
        <v>1674</v>
      </c>
      <c r="G1135" s="767" t="s">
        <v>21</v>
      </c>
      <c r="H1135" s="219">
        <v>162.80000000000001</v>
      </c>
      <c r="I1135" s="307"/>
      <c r="J1135" s="836" t="s">
        <v>1675</v>
      </c>
      <c r="K1135" s="823" t="s">
        <v>1647</v>
      </c>
      <c r="L1135" s="829">
        <v>1</v>
      </c>
      <c r="M1135" s="824"/>
    </row>
    <row r="1136" spans="1:13" ht="12.75" customHeight="1" x14ac:dyDescent="0.2">
      <c r="A1136" s="813">
        <v>9</v>
      </c>
      <c r="B1136" s="825"/>
      <c r="C1136" s="813"/>
      <c r="D1136" s="766"/>
      <c r="E1136" s="732">
        <v>13</v>
      </c>
      <c r="F1136" s="822" t="s">
        <v>1674</v>
      </c>
      <c r="G1136" s="311" t="s">
        <v>268</v>
      </c>
      <c r="H1136" s="219">
        <v>85.1</v>
      </c>
      <c r="I1136" s="307"/>
      <c r="J1136" s="836"/>
      <c r="K1136" s="823"/>
      <c r="L1136" s="829"/>
      <c r="M1136" s="824"/>
    </row>
    <row r="1137" spans="1:13" ht="22.5" x14ac:dyDescent="0.2">
      <c r="A1137" s="813">
        <v>9</v>
      </c>
      <c r="B1137" s="825"/>
      <c r="C1137" s="813"/>
      <c r="D1137" s="766"/>
      <c r="E1137" s="732">
        <v>13</v>
      </c>
      <c r="F1137" s="822" t="s">
        <v>1674</v>
      </c>
      <c r="G1137" s="311" t="s">
        <v>19</v>
      </c>
      <c r="H1137" s="219">
        <v>70.099999999999994</v>
      </c>
      <c r="I1137" s="307"/>
      <c r="J1137" s="823" t="s">
        <v>1675</v>
      </c>
      <c r="K1137" s="161"/>
      <c r="L1137" s="45"/>
      <c r="M1137" s="196"/>
    </row>
    <row r="1138" spans="1:13" ht="17.45" customHeight="1" x14ac:dyDescent="0.2">
      <c r="A1138" s="813">
        <v>9</v>
      </c>
      <c r="B1138" s="825"/>
      <c r="C1138" s="813"/>
      <c r="D1138" s="766"/>
      <c r="E1138" s="732">
        <v>13</v>
      </c>
      <c r="F1138" s="822" t="s">
        <v>1674</v>
      </c>
      <c r="G1138" s="311" t="s">
        <v>1411</v>
      </c>
      <c r="H1138" s="219">
        <f>407.1-407.1</f>
        <v>0</v>
      </c>
      <c r="I1138" s="307"/>
      <c r="J1138" s="823" t="s">
        <v>1676</v>
      </c>
      <c r="K1138" s="823" t="s">
        <v>1677</v>
      </c>
      <c r="L1138" s="837">
        <v>5</v>
      </c>
      <c r="M1138" s="824"/>
    </row>
    <row r="1139" spans="1:13" ht="12.75" customHeight="1" x14ac:dyDescent="0.2">
      <c r="A1139" s="813">
        <v>9</v>
      </c>
      <c r="B1139" s="825"/>
      <c r="C1139" s="813"/>
      <c r="D1139" s="766"/>
      <c r="E1139" s="732">
        <v>13</v>
      </c>
      <c r="F1139" s="822" t="s">
        <v>1674</v>
      </c>
      <c r="G1139" s="768" t="s">
        <v>247</v>
      </c>
      <c r="H1139" s="769">
        <f>SUM(H1135+H1137+H1138+H1136)</f>
        <v>318</v>
      </c>
      <c r="I1139" s="307"/>
      <c r="J1139" s="823"/>
      <c r="K1139" s="161"/>
      <c r="L1139" s="45"/>
      <c r="M1139" s="824"/>
    </row>
    <row r="1140" spans="1:13" ht="12.75" customHeight="1" x14ac:dyDescent="0.2">
      <c r="A1140" s="813">
        <v>9</v>
      </c>
      <c r="B1140" s="825"/>
      <c r="C1140" s="813" t="s">
        <v>1678</v>
      </c>
      <c r="D1140" s="766" t="s">
        <v>1679</v>
      </c>
      <c r="E1140" s="732">
        <v>32</v>
      </c>
      <c r="F1140" s="822" t="s">
        <v>1680</v>
      </c>
      <c r="G1140" s="485" t="s">
        <v>1681</v>
      </c>
      <c r="H1140" s="219">
        <v>7.3</v>
      </c>
      <c r="I1140" s="307"/>
      <c r="J1140" s="823" t="s">
        <v>1682</v>
      </c>
      <c r="K1140" s="823" t="s">
        <v>1683</v>
      </c>
      <c r="L1140" s="829">
        <v>100</v>
      </c>
      <c r="M1140" s="824"/>
    </row>
    <row r="1141" spans="1:13" ht="12.75" customHeight="1" x14ac:dyDescent="0.2">
      <c r="A1141" s="813">
        <v>9</v>
      </c>
      <c r="B1141" s="825"/>
      <c r="C1141" s="813"/>
      <c r="D1141" s="766"/>
      <c r="E1141" s="732">
        <v>32</v>
      </c>
      <c r="F1141" s="822" t="s">
        <v>1680</v>
      </c>
      <c r="G1141" s="485" t="s">
        <v>1684</v>
      </c>
      <c r="H1141" s="219">
        <v>7.3</v>
      </c>
      <c r="I1141" s="307"/>
      <c r="J1141" s="823" t="s">
        <v>1682</v>
      </c>
      <c r="K1141" s="823" t="s">
        <v>1683</v>
      </c>
      <c r="L1141" s="829">
        <v>100</v>
      </c>
      <c r="M1141" s="824"/>
    </row>
    <row r="1142" spans="1:13" ht="12.75" customHeight="1" x14ac:dyDescent="0.2">
      <c r="A1142" s="813">
        <v>9</v>
      </c>
      <c r="B1142" s="825"/>
      <c r="C1142" s="813"/>
      <c r="D1142" s="766"/>
      <c r="E1142" s="732">
        <v>32</v>
      </c>
      <c r="F1142" s="822" t="s">
        <v>1680</v>
      </c>
      <c r="G1142" s="767" t="s">
        <v>21</v>
      </c>
      <c r="H1142" s="219"/>
      <c r="I1142" s="307"/>
      <c r="J1142" s="823" t="s">
        <v>1682</v>
      </c>
      <c r="K1142" s="823" t="s">
        <v>1683</v>
      </c>
      <c r="L1142" s="829">
        <v>100</v>
      </c>
      <c r="M1142" s="824"/>
    </row>
    <row r="1143" spans="1:13" ht="12.75" customHeight="1" x14ac:dyDescent="0.2">
      <c r="A1143" s="813">
        <v>9</v>
      </c>
      <c r="B1143" s="825"/>
      <c r="C1143" s="813"/>
      <c r="D1143" s="766"/>
      <c r="E1143" s="732">
        <v>32</v>
      </c>
      <c r="F1143" s="822" t="s">
        <v>1680</v>
      </c>
      <c r="G1143" s="311" t="s">
        <v>268</v>
      </c>
      <c r="H1143" s="219">
        <v>66.7</v>
      </c>
      <c r="I1143" s="307"/>
      <c r="J1143" s="823"/>
      <c r="K1143" s="161"/>
      <c r="L1143" s="45"/>
      <c r="M1143" s="838"/>
    </row>
    <row r="1144" spans="1:13" ht="12.75" customHeight="1" x14ac:dyDescent="0.2">
      <c r="A1144" s="813">
        <v>9</v>
      </c>
      <c r="B1144" s="825"/>
      <c r="C1144" s="813"/>
      <c r="D1144" s="766"/>
      <c r="E1144" s="732">
        <v>32</v>
      </c>
      <c r="F1144" s="822" t="s">
        <v>1680</v>
      </c>
      <c r="G1144" s="311" t="s">
        <v>19</v>
      </c>
      <c r="H1144" s="219">
        <v>257</v>
      </c>
      <c r="I1144" s="307"/>
      <c r="J1144" s="823" t="s">
        <v>1682</v>
      </c>
      <c r="K1144" s="823" t="s">
        <v>1683</v>
      </c>
      <c r="L1144" s="829">
        <v>100</v>
      </c>
      <c r="M1144" s="824"/>
    </row>
    <row r="1145" spans="1:13" ht="12.75" customHeight="1" x14ac:dyDescent="0.2">
      <c r="A1145" s="813">
        <v>9</v>
      </c>
      <c r="B1145" s="825"/>
      <c r="C1145" s="813"/>
      <c r="D1145" s="766"/>
      <c r="E1145" s="732">
        <v>32</v>
      </c>
      <c r="F1145" s="822" t="s">
        <v>1680</v>
      </c>
      <c r="G1145" s="311" t="s">
        <v>249</v>
      </c>
      <c r="H1145" s="219">
        <v>20.2</v>
      </c>
      <c r="I1145" s="307"/>
      <c r="J1145" s="823"/>
      <c r="K1145" s="823"/>
      <c r="L1145" s="829"/>
      <c r="M1145" s="824"/>
    </row>
    <row r="1146" spans="1:13" x14ac:dyDescent="0.2">
      <c r="A1146" s="813">
        <v>9</v>
      </c>
      <c r="B1146" s="825"/>
      <c r="C1146" s="813"/>
      <c r="D1146" s="766"/>
      <c r="E1146" s="770">
        <v>19</v>
      </c>
      <c r="F1146" s="822" t="s">
        <v>1685</v>
      </c>
      <c r="G1146" s="307" t="s">
        <v>21</v>
      </c>
      <c r="H1146" s="219"/>
      <c r="I1146" s="307"/>
      <c r="J1146" s="155"/>
      <c r="K1146" s="161"/>
      <c r="L1146" s="45"/>
      <c r="M1146" s="824"/>
    </row>
    <row r="1147" spans="1:13" ht="12.75" customHeight="1" x14ac:dyDescent="0.2">
      <c r="A1147" s="813">
        <v>9</v>
      </c>
      <c r="B1147" s="825"/>
      <c r="C1147" s="813"/>
      <c r="D1147" s="766"/>
      <c r="E1147" s="770">
        <v>19</v>
      </c>
      <c r="F1147" s="822" t="s">
        <v>1685</v>
      </c>
      <c r="G1147" s="311" t="s">
        <v>268</v>
      </c>
      <c r="H1147" s="219">
        <v>11.9</v>
      </c>
      <c r="I1147" s="307"/>
      <c r="J1147" s="823" t="s">
        <v>1686</v>
      </c>
      <c r="K1147" s="823" t="s">
        <v>1687</v>
      </c>
      <c r="L1147" s="829">
        <v>165</v>
      </c>
      <c r="M1147" s="838"/>
    </row>
    <row r="1148" spans="1:13" x14ac:dyDescent="0.2">
      <c r="A1148" s="813">
        <v>9</v>
      </c>
      <c r="B1148" s="825"/>
      <c r="C1148" s="813"/>
      <c r="D1148" s="766"/>
      <c r="E1148" s="770">
        <v>21</v>
      </c>
      <c r="F1148" s="822" t="s">
        <v>1688</v>
      </c>
      <c r="G1148" s="767" t="s">
        <v>21</v>
      </c>
      <c r="H1148" s="219"/>
      <c r="I1148" s="307"/>
      <c r="J1148" s="823"/>
      <c r="K1148" s="161"/>
      <c r="L1148" s="45"/>
      <c r="M1148" s="838"/>
    </row>
    <row r="1149" spans="1:13" ht="12.75" customHeight="1" x14ac:dyDescent="0.2">
      <c r="A1149" s="813">
        <v>9</v>
      </c>
      <c r="B1149" s="825"/>
      <c r="C1149" s="813"/>
      <c r="D1149" s="766"/>
      <c r="E1149" s="770">
        <v>21</v>
      </c>
      <c r="F1149" s="822" t="s">
        <v>1688</v>
      </c>
      <c r="G1149" s="311" t="s">
        <v>268</v>
      </c>
      <c r="H1149" s="219">
        <v>25.5</v>
      </c>
      <c r="I1149" s="307"/>
      <c r="J1149" s="823" t="s">
        <v>1689</v>
      </c>
      <c r="K1149" s="823" t="s">
        <v>1687</v>
      </c>
      <c r="L1149" s="829">
        <v>500</v>
      </c>
      <c r="M1149" s="838"/>
    </row>
    <row r="1150" spans="1:13" x14ac:dyDescent="0.2">
      <c r="A1150" s="813">
        <v>9</v>
      </c>
      <c r="B1150" s="825"/>
      <c r="C1150" s="813"/>
      <c r="D1150" s="766"/>
      <c r="E1150" s="770">
        <v>24</v>
      </c>
      <c r="F1150" s="822" t="s">
        <v>1690</v>
      </c>
      <c r="G1150" s="767" t="s">
        <v>21</v>
      </c>
      <c r="H1150" s="219"/>
      <c r="I1150" s="307"/>
      <c r="J1150" s="823"/>
      <c r="K1150" s="161"/>
      <c r="L1150" s="45"/>
      <c r="M1150" s="838"/>
    </row>
    <row r="1151" spans="1:13" ht="22.5" x14ac:dyDescent="0.2">
      <c r="A1151" s="813">
        <v>9</v>
      </c>
      <c r="B1151" s="825"/>
      <c r="C1151" s="813"/>
      <c r="D1151" s="766"/>
      <c r="E1151" s="770">
        <v>24</v>
      </c>
      <c r="F1151" s="822" t="s">
        <v>1690</v>
      </c>
      <c r="G1151" s="311" t="s">
        <v>268</v>
      </c>
      <c r="H1151" s="219">
        <v>27.9</v>
      </c>
      <c r="I1151" s="307"/>
      <c r="J1151" s="823" t="s">
        <v>1691</v>
      </c>
      <c r="K1151" s="823" t="s">
        <v>1687</v>
      </c>
      <c r="L1151" s="829">
        <v>395</v>
      </c>
      <c r="M1151" s="838"/>
    </row>
    <row r="1152" spans="1:13" x14ac:dyDescent="0.2">
      <c r="A1152" s="813">
        <v>9</v>
      </c>
      <c r="B1152" s="825"/>
      <c r="C1152" s="813"/>
      <c r="D1152" s="766"/>
      <c r="E1152" s="770">
        <v>26</v>
      </c>
      <c r="F1152" s="822" t="s">
        <v>1692</v>
      </c>
      <c r="G1152" s="767" t="s">
        <v>21</v>
      </c>
      <c r="H1152" s="219"/>
      <c r="I1152" s="307"/>
      <c r="J1152" s="823"/>
      <c r="K1152" s="161"/>
      <c r="L1152" s="45"/>
      <c r="M1152" s="838"/>
    </row>
    <row r="1153" spans="1:13" ht="12.75" customHeight="1" x14ac:dyDescent="0.2">
      <c r="A1153" s="813">
        <v>9</v>
      </c>
      <c r="B1153" s="825"/>
      <c r="C1153" s="813"/>
      <c r="D1153" s="766"/>
      <c r="E1153" s="770">
        <v>26</v>
      </c>
      <c r="F1153" s="822" t="s">
        <v>1692</v>
      </c>
      <c r="G1153" s="311" t="s">
        <v>268</v>
      </c>
      <c r="H1153" s="219">
        <v>23.7</v>
      </c>
      <c r="I1153" s="307"/>
      <c r="J1153" s="823" t="s">
        <v>1693</v>
      </c>
      <c r="K1153" s="823" t="s">
        <v>1694</v>
      </c>
      <c r="L1153" s="829">
        <v>500</v>
      </c>
      <c r="M1153" s="838"/>
    </row>
    <row r="1154" spans="1:13" x14ac:dyDescent="0.2">
      <c r="A1154" s="813">
        <v>9</v>
      </c>
      <c r="B1154" s="825"/>
      <c r="C1154" s="813"/>
      <c r="D1154" s="766"/>
      <c r="E1154" s="770">
        <v>27</v>
      </c>
      <c r="F1154" s="822" t="s">
        <v>1695</v>
      </c>
      <c r="G1154" s="767" t="s">
        <v>21</v>
      </c>
      <c r="H1154" s="219"/>
      <c r="I1154" s="307"/>
      <c r="J1154" s="823"/>
      <c r="K1154" s="161"/>
      <c r="L1154" s="45"/>
      <c r="M1154" s="838"/>
    </row>
    <row r="1155" spans="1:13" ht="12.75" customHeight="1" x14ac:dyDescent="0.2">
      <c r="A1155" s="813">
        <v>9</v>
      </c>
      <c r="B1155" s="825"/>
      <c r="C1155" s="813"/>
      <c r="D1155" s="766"/>
      <c r="E1155" s="770">
        <v>27</v>
      </c>
      <c r="F1155" s="822" t="s">
        <v>1695</v>
      </c>
      <c r="G1155" s="311" t="s">
        <v>268</v>
      </c>
      <c r="H1155" s="219">
        <v>28.4</v>
      </c>
      <c r="I1155" s="307"/>
      <c r="J1155" s="823" t="s">
        <v>1696</v>
      </c>
      <c r="K1155" s="823" t="s">
        <v>1697</v>
      </c>
      <c r="L1155" s="829">
        <v>400</v>
      </c>
      <c r="M1155" s="838"/>
    </row>
    <row r="1156" spans="1:13" x14ac:dyDescent="0.2">
      <c r="A1156" s="813">
        <v>9</v>
      </c>
      <c r="B1156" s="825"/>
      <c r="C1156" s="813"/>
      <c r="D1156" s="766"/>
      <c r="E1156" s="770">
        <v>28</v>
      </c>
      <c r="F1156" s="822" t="s">
        <v>1698</v>
      </c>
      <c r="G1156" s="767" t="s">
        <v>21</v>
      </c>
      <c r="H1156" s="219"/>
      <c r="I1156" s="307"/>
      <c r="J1156" s="823"/>
      <c r="K1156" s="161"/>
      <c r="L1156" s="45"/>
      <c r="M1156" s="838"/>
    </row>
    <row r="1157" spans="1:13" ht="12.75" customHeight="1" x14ac:dyDescent="0.2">
      <c r="A1157" s="813">
        <v>9</v>
      </c>
      <c r="B1157" s="825"/>
      <c r="C1157" s="813"/>
      <c r="D1157" s="766"/>
      <c r="E1157" s="770">
        <v>28</v>
      </c>
      <c r="F1157" s="822" t="s">
        <v>1698</v>
      </c>
      <c r="G1157" s="311" t="s">
        <v>268</v>
      </c>
      <c r="H1157" s="219">
        <v>24.2</v>
      </c>
      <c r="I1157" s="307"/>
      <c r="J1157" s="823" t="s">
        <v>1699</v>
      </c>
      <c r="K1157" s="823" t="s">
        <v>1700</v>
      </c>
      <c r="L1157" s="829">
        <v>560</v>
      </c>
      <c r="M1157" s="838"/>
    </row>
    <row r="1158" spans="1:13" x14ac:dyDescent="0.2">
      <c r="A1158" s="813">
        <v>9</v>
      </c>
      <c r="B1158" s="825"/>
      <c r="C1158" s="813"/>
      <c r="D1158" s="766"/>
      <c r="E1158" s="770">
        <v>29</v>
      </c>
      <c r="F1158" s="822" t="s">
        <v>1701</v>
      </c>
      <c r="G1158" s="767" t="s">
        <v>21</v>
      </c>
      <c r="H1158" s="219"/>
      <c r="I1158" s="307"/>
      <c r="J1158" s="823"/>
      <c r="K1158" s="161"/>
      <c r="L1158" s="45"/>
      <c r="M1158" s="838"/>
    </row>
    <row r="1159" spans="1:13" ht="22.5" x14ac:dyDescent="0.2">
      <c r="A1159" s="813">
        <v>9</v>
      </c>
      <c r="B1159" s="825"/>
      <c r="C1159" s="813"/>
      <c r="D1159" s="766"/>
      <c r="E1159" s="770">
        <v>29</v>
      </c>
      <c r="F1159" s="822" t="s">
        <v>1701</v>
      </c>
      <c r="G1159" s="311" t="s">
        <v>268</v>
      </c>
      <c r="H1159" s="219">
        <v>25.2</v>
      </c>
      <c r="I1159" s="307"/>
      <c r="J1159" s="823" t="s">
        <v>1702</v>
      </c>
      <c r="K1159" s="823" t="s">
        <v>1687</v>
      </c>
      <c r="L1159" s="829">
        <v>594</v>
      </c>
      <c r="M1159" s="838"/>
    </row>
    <row r="1160" spans="1:13" ht="12.75" customHeight="1" x14ac:dyDescent="0.2">
      <c r="A1160" s="813">
        <v>9</v>
      </c>
      <c r="B1160" s="825"/>
      <c r="C1160" s="813"/>
      <c r="D1160" s="766"/>
      <c r="E1160" s="763"/>
      <c r="F1160" s="822"/>
      <c r="G1160" s="768" t="s">
        <v>247</v>
      </c>
      <c r="H1160" s="769">
        <f>SUM(H1140:H1159)</f>
        <v>525.29999999999995</v>
      </c>
      <c r="I1160" s="307"/>
      <c r="J1160" s="823"/>
      <c r="K1160" s="161"/>
      <c r="L1160" s="45"/>
      <c r="M1160" s="824"/>
    </row>
    <row r="1161" spans="1:13" ht="12.75" customHeight="1" x14ac:dyDescent="0.2">
      <c r="A1161" s="813">
        <v>9</v>
      </c>
      <c r="B1161" s="825"/>
      <c r="C1161" s="813" t="s">
        <v>1703</v>
      </c>
      <c r="D1161" s="766" t="s">
        <v>1704</v>
      </c>
      <c r="E1161" s="763">
        <v>7</v>
      </c>
      <c r="F1161" s="822" t="s">
        <v>1705</v>
      </c>
      <c r="G1161" s="214" t="s">
        <v>19</v>
      </c>
      <c r="H1161" s="294">
        <v>764.5</v>
      </c>
      <c r="I1161" s="307"/>
      <c r="J1161" s="823" t="s">
        <v>1706</v>
      </c>
      <c r="K1161" s="823" t="s">
        <v>367</v>
      </c>
      <c r="L1161" s="829">
        <v>100</v>
      </c>
      <c r="M1161" s="824"/>
    </row>
    <row r="1162" spans="1:13" ht="12.75" customHeight="1" x14ac:dyDescent="0.2">
      <c r="A1162" s="813">
        <v>9</v>
      </c>
      <c r="B1162" s="825"/>
      <c r="C1162" s="813"/>
      <c r="D1162" s="766"/>
      <c r="E1162" s="763">
        <v>7</v>
      </c>
      <c r="F1162" s="822" t="s">
        <v>1705</v>
      </c>
      <c r="G1162" s="767" t="s">
        <v>21</v>
      </c>
      <c r="H1162" s="294"/>
      <c r="I1162" s="307"/>
      <c r="J1162" s="823"/>
      <c r="K1162" s="161"/>
      <c r="L1162" s="45"/>
      <c r="M1162" s="824"/>
    </row>
    <row r="1163" spans="1:13" ht="12.75" customHeight="1" x14ac:dyDescent="0.2">
      <c r="A1163" s="813">
        <v>9</v>
      </c>
      <c r="B1163" s="825"/>
      <c r="C1163" s="813"/>
      <c r="D1163" s="839" t="s">
        <v>1707</v>
      </c>
      <c r="E1163" s="763">
        <v>7</v>
      </c>
      <c r="F1163" s="822" t="s">
        <v>1705</v>
      </c>
      <c r="G1163" s="485" t="s">
        <v>21</v>
      </c>
      <c r="H1163" s="294"/>
      <c r="I1163" s="307"/>
      <c r="J1163" s="823"/>
      <c r="K1163" s="161"/>
      <c r="L1163" s="45"/>
      <c r="M1163" s="824"/>
    </row>
    <row r="1164" spans="1:13" ht="12.75" customHeight="1" x14ac:dyDescent="0.2">
      <c r="A1164" s="813">
        <v>9</v>
      </c>
      <c r="B1164" s="825"/>
      <c r="C1164" s="813"/>
      <c r="D1164" s="839" t="s">
        <v>1708</v>
      </c>
      <c r="E1164" s="763">
        <v>7</v>
      </c>
      <c r="F1164" s="822" t="s">
        <v>1705</v>
      </c>
      <c r="G1164" s="485" t="s">
        <v>21</v>
      </c>
      <c r="H1164" s="294"/>
      <c r="I1164" s="307"/>
      <c r="J1164" s="823"/>
      <c r="K1164" s="161"/>
      <c r="L1164" s="45"/>
      <c r="M1164" s="824"/>
    </row>
    <row r="1165" spans="1:13" ht="12.75" customHeight="1" x14ac:dyDescent="0.2">
      <c r="A1165" s="813">
        <v>9</v>
      </c>
      <c r="B1165" s="825"/>
      <c r="C1165" s="813"/>
      <c r="D1165" s="839" t="s">
        <v>1709</v>
      </c>
      <c r="E1165" s="763">
        <v>7</v>
      </c>
      <c r="F1165" s="822" t="s">
        <v>1705</v>
      </c>
      <c r="G1165" s="485" t="s">
        <v>21</v>
      </c>
      <c r="H1165" s="294"/>
      <c r="I1165" s="307"/>
      <c r="J1165" s="823"/>
      <c r="K1165" s="161"/>
      <c r="L1165" s="45"/>
      <c r="M1165" s="824"/>
    </row>
    <row r="1166" spans="1:13" ht="12.75" customHeight="1" x14ac:dyDescent="0.2">
      <c r="A1166" s="813">
        <v>9</v>
      </c>
      <c r="B1166" s="825"/>
      <c r="C1166" s="813"/>
      <c r="D1166" s="766"/>
      <c r="E1166" s="763">
        <v>7</v>
      </c>
      <c r="F1166" s="822" t="s">
        <v>1705</v>
      </c>
      <c r="G1166" s="210" t="s">
        <v>23</v>
      </c>
      <c r="H1166" s="725"/>
      <c r="I1166" s="307"/>
      <c r="J1166" s="823"/>
      <c r="K1166" s="161"/>
      <c r="L1166" s="45"/>
      <c r="M1166" s="824"/>
    </row>
    <row r="1167" spans="1:13" ht="12.75" customHeight="1" x14ac:dyDescent="0.2">
      <c r="A1167" s="813">
        <v>9</v>
      </c>
      <c r="B1167" s="825"/>
      <c r="C1167" s="813"/>
      <c r="D1167" s="766"/>
      <c r="E1167" s="763">
        <v>7</v>
      </c>
      <c r="F1167" s="822" t="s">
        <v>1705</v>
      </c>
      <c r="G1167" s="768" t="s">
        <v>247</v>
      </c>
      <c r="H1167" s="769">
        <f>SUM(H1161:H1166)</f>
        <v>764.5</v>
      </c>
      <c r="I1167" s="307"/>
      <c r="J1167" s="823"/>
      <c r="K1167" s="161"/>
      <c r="L1167" s="45"/>
      <c r="M1167" s="824"/>
    </row>
    <row r="1168" spans="1:13" ht="26.45" customHeight="1" x14ac:dyDescent="0.2">
      <c r="A1168" s="813">
        <v>9</v>
      </c>
      <c r="B1168" s="825"/>
      <c r="C1168" s="813" t="s">
        <v>1710</v>
      </c>
      <c r="D1168" s="766" t="s">
        <v>1711</v>
      </c>
      <c r="E1168" s="214">
        <v>6</v>
      </c>
      <c r="F1168" s="813" t="s">
        <v>1712</v>
      </c>
      <c r="G1168" s="485" t="s">
        <v>21</v>
      </c>
      <c r="H1168" s="219"/>
      <c r="I1168" s="307"/>
      <c r="J1168" s="158"/>
      <c r="K1168" s="161"/>
      <c r="L1168" s="45"/>
      <c r="M1168" s="824"/>
    </row>
    <row r="1169" spans="1:13" ht="12.75" customHeight="1" x14ac:dyDescent="0.2">
      <c r="A1169" s="813">
        <v>9</v>
      </c>
      <c r="B1169" s="825"/>
      <c r="C1169" s="813"/>
      <c r="D1169" s="766"/>
      <c r="E1169" s="214">
        <v>6</v>
      </c>
      <c r="F1169" s="813" t="s">
        <v>1712</v>
      </c>
      <c r="G1169" s="311" t="s">
        <v>268</v>
      </c>
      <c r="H1169" s="219">
        <v>0.7</v>
      </c>
      <c r="I1169" s="307"/>
      <c r="J1169" s="823" t="s">
        <v>1713</v>
      </c>
      <c r="K1169" s="823" t="s">
        <v>1714</v>
      </c>
      <c r="L1169" s="829">
        <v>100</v>
      </c>
      <c r="M1169" s="824"/>
    </row>
    <row r="1170" spans="1:13" ht="12.75" customHeight="1" x14ac:dyDescent="0.2">
      <c r="A1170" s="813">
        <v>9</v>
      </c>
      <c r="B1170" s="825"/>
      <c r="C1170" s="813"/>
      <c r="D1170" s="766"/>
      <c r="E1170" s="763">
        <v>6</v>
      </c>
      <c r="F1170" s="822" t="s">
        <v>1712</v>
      </c>
      <c r="G1170" s="768" t="s">
        <v>247</v>
      </c>
      <c r="H1170" s="769">
        <f>SUM(H1168:H1169)</f>
        <v>0.7</v>
      </c>
      <c r="I1170" s="307"/>
      <c r="J1170" s="823"/>
      <c r="K1170" s="161"/>
      <c r="L1170" s="45"/>
      <c r="M1170" s="824"/>
    </row>
    <row r="1171" spans="1:13" ht="12.75" customHeight="1" x14ac:dyDescent="0.2">
      <c r="A1171" s="813">
        <v>9</v>
      </c>
      <c r="B1171" s="825"/>
      <c r="C1171" s="813" t="s">
        <v>1715</v>
      </c>
      <c r="D1171" s="766" t="s">
        <v>1716</v>
      </c>
      <c r="E1171" s="770" t="s">
        <v>1717</v>
      </c>
      <c r="F1171" s="822" t="s">
        <v>1718</v>
      </c>
      <c r="G1171" s="210" t="s">
        <v>21</v>
      </c>
      <c r="H1171" s="219"/>
      <c r="I1171" s="307"/>
      <c r="J1171" s="158"/>
      <c r="K1171" s="161"/>
      <c r="L1171" s="45"/>
      <c r="M1171" s="803"/>
    </row>
    <row r="1172" spans="1:13" ht="12.75" customHeight="1" x14ac:dyDescent="0.2">
      <c r="A1172" s="813">
        <v>9</v>
      </c>
      <c r="B1172" s="825"/>
      <c r="C1172" s="813"/>
      <c r="D1172" s="766"/>
      <c r="E1172" s="770" t="s">
        <v>1717</v>
      </c>
      <c r="F1172" s="822" t="s">
        <v>1718</v>
      </c>
      <c r="G1172" s="311" t="s">
        <v>268</v>
      </c>
      <c r="H1172" s="219">
        <v>0.2</v>
      </c>
      <c r="I1172" s="307"/>
      <c r="J1172" s="823" t="s">
        <v>1719</v>
      </c>
      <c r="K1172" s="823" t="s">
        <v>1647</v>
      </c>
      <c r="L1172" s="829">
        <v>1</v>
      </c>
      <c r="M1172" s="838" t="s">
        <v>217</v>
      </c>
    </row>
    <row r="1173" spans="1:13" ht="12.75" customHeight="1" x14ac:dyDescent="0.2">
      <c r="A1173" s="813">
        <v>9</v>
      </c>
      <c r="B1173" s="825"/>
      <c r="C1173" s="813"/>
      <c r="D1173" s="766"/>
      <c r="E1173" s="770" t="s">
        <v>1720</v>
      </c>
      <c r="F1173" s="822" t="s">
        <v>1721</v>
      </c>
      <c r="G1173" s="210" t="s">
        <v>21</v>
      </c>
      <c r="H1173" s="219"/>
      <c r="I1173" s="307"/>
      <c r="J1173" s="823"/>
      <c r="K1173" s="161"/>
      <c r="L1173" s="45"/>
      <c r="M1173" s="838"/>
    </row>
    <row r="1174" spans="1:13" ht="12.75" customHeight="1" x14ac:dyDescent="0.2">
      <c r="A1174" s="813">
        <v>9</v>
      </c>
      <c r="B1174" s="825"/>
      <c r="C1174" s="813"/>
      <c r="D1174" s="766"/>
      <c r="E1174" s="770" t="s">
        <v>1720</v>
      </c>
      <c r="F1174" s="822" t="s">
        <v>1721</v>
      </c>
      <c r="G1174" s="311" t="s">
        <v>268</v>
      </c>
      <c r="H1174" s="219">
        <v>2.8</v>
      </c>
      <c r="I1174" s="307"/>
      <c r="J1174" s="141" t="s">
        <v>1722</v>
      </c>
      <c r="K1174" s="823" t="s">
        <v>1647</v>
      </c>
      <c r="L1174" s="829">
        <v>1</v>
      </c>
      <c r="M1174" s="838" t="s">
        <v>545</v>
      </c>
    </row>
    <row r="1175" spans="1:13" ht="12.75" customHeight="1" x14ac:dyDescent="0.2">
      <c r="A1175" s="813">
        <v>9</v>
      </c>
      <c r="B1175" s="825"/>
      <c r="C1175" s="813"/>
      <c r="D1175" s="766"/>
      <c r="E1175" s="770" t="s">
        <v>1723</v>
      </c>
      <c r="F1175" s="822" t="s">
        <v>1724</v>
      </c>
      <c r="G1175" s="210" t="s">
        <v>21</v>
      </c>
      <c r="H1175" s="219"/>
      <c r="I1175" s="307"/>
      <c r="J1175" s="141"/>
      <c r="K1175" s="161"/>
      <c r="L1175" s="45"/>
      <c r="M1175" s="838"/>
    </row>
    <row r="1176" spans="1:13" ht="12.75" customHeight="1" x14ac:dyDescent="0.2">
      <c r="A1176" s="813">
        <v>9</v>
      </c>
      <c r="B1176" s="825"/>
      <c r="C1176" s="813"/>
      <c r="D1176" s="766"/>
      <c r="E1176" s="770" t="s">
        <v>1723</v>
      </c>
      <c r="F1176" s="822" t="s">
        <v>1724</v>
      </c>
      <c r="G1176" s="311" t="s">
        <v>268</v>
      </c>
      <c r="H1176" s="219">
        <v>0.1</v>
      </c>
      <c r="I1176" s="307"/>
      <c r="J1176" s="840" t="s">
        <v>1725</v>
      </c>
      <c r="K1176" s="823" t="s">
        <v>1647</v>
      </c>
      <c r="L1176" s="829">
        <v>1</v>
      </c>
      <c r="M1176" s="838" t="s">
        <v>1595</v>
      </c>
    </row>
    <row r="1177" spans="1:13" ht="12.75" customHeight="1" x14ac:dyDescent="0.2">
      <c r="A1177" s="813">
        <v>9</v>
      </c>
      <c r="B1177" s="825"/>
      <c r="C1177" s="813"/>
      <c r="D1177" s="766"/>
      <c r="E1177" s="770" t="s">
        <v>1726</v>
      </c>
      <c r="F1177" s="822" t="s">
        <v>1727</v>
      </c>
      <c r="G1177" s="214" t="s">
        <v>19</v>
      </c>
      <c r="H1177" s="219">
        <v>32.1</v>
      </c>
      <c r="I1177" s="307"/>
      <c r="J1177" s="840"/>
      <c r="K1177" s="161"/>
      <c r="L1177" s="45"/>
      <c r="M1177" s="838"/>
    </row>
    <row r="1178" spans="1:13" ht="12.75" customHeight="1" x14ac:dyDescent="0.2">
      <c r="A1178" s="813">
        <v>9</v>
      </c>
      <c r="B1178" s="825"/>
      <c r="C1178" s="813"/>
      <c r="D1178" s="766"/>
      <c r="E1178" s="770" t="s">
        <v>1728</v>
      </c>
      <c r="F1178" s="822" t="s">
        <v>1729</v>
      </c>
      <c r="G1178" s="210" t="s">
        <v>21</v>
      </c>
      <c r="H1178" s="219"/>
      <c r="I1178" s="307"/>
      <c r="J1178" s="141" t="s">
        <v>1730</v>
      </c>
      <c r="K1178" s="823" t="s">
        <v>1647</v>
      </c>
      <c r="L1178" s="829">
        <v>1</v>
      </c>
      <c r="M1178" s="838" t="s">
        <v>67</v>
      </c>
    </row>
    <row r="1179" spans="1:13" ht="12.75" customHeight="1" x14ac:dyDescent="0.2">
      <c r="A1179" s="813">
        <v>9</v>
      </c>
      <c r="B1179" s="825"/>
      <c r="C1179" s="813"/>
      <c r="D1179" s="766"/>
      <c r="E1179" s="770" t="s">
        <v>1728</v>
      </c>
      <c r="F1179" s="822" t="s">
        <v>1729</v>
      </c>
      <c r="G1179" s="311" t="s">
        <v>268</v>
      </c>
      <c r="H1179" s="219">
        <v>0.1</v>
      </c>
      <c r="I1179" s="307"/>
      <c r="J1179" s="144" t="s">
        <v>1731</v>
      </c>
      <c r="K1179" s="823" t="s">
        <v>1647</v>
      </c>
      <c r="L1179" s="829">
        <v>1</v>
      </c>
      <c r="M1179" s="838" t="s">
        <v>361</v>
      </c>
    </row>
    <row r="1180" spans="1:13" ht="12.75" customHeight="1" x14ac:dyDescent="0.2">
      <c r="A1180" s="813">
        <v>9</v>
      </c>
      <c r="B1180" s="825"/>
      <c r="C1180" s="813"/>
      <c r="D1180" s="766"/>
      <c r="E1180" s="770" t="s">
        <v>1732</v>
      </c>
      <c r="F1180" s="822" t="s">
        <v>1733</v>
      </c>
      <c r="G1180" s="210" t="s">
        <v>21</v>
      </c>
      <c r="H1180" s="219"/>
      <c r="I1180" s="307"/>
      <c r="J1180" s="144"/>
      <c r="K1180" s="161"/>
      <c r="L1180" s="45"/>
      <c r="M1180" s="838"/>
    </row>
    <row r="1181" spans="1:13" ht="12.75" customHeight="1" x14ac:dyDescent="0.2">
      <c r="A1181" s="813">
        <v>9</v>
      </c>
      <c r="B1181" s="825"/>
      <c r="C1181" s="813"/>
      <c r="D1181" s="766"/>
      <c r="E1181" s="770" t="s">
        <v>1732</v>
      </c>
      <c r="F1181" s="822" t="s">
        <v>1733</v>
      </c>
      <c r="G1181" s="311" t="s">
        <v>268</v>
      </c>
      <c r="H1181" s="219">
        <v>1.7</v>
      </c>
      <c r="I1181" s="307"/>
      <c r="J1181" s="144" t="s">
        <v>1734</v>
      </c>
      <c r="K1181" s="823" t="s">
        <v>1647</v>
      </c>
      <c r="L1181" s="829">
        <v>1</v>
      </c>
      <c r="M1181" s="838" t="s">
        <v>223</v>
      </c>
    </row>
    <row r="1182" spans="1:13" ht="12.75" customHeight="1" x14ac:dyDescent="0.2">
      <c r="A1182" s="813">
        <v>9</v>
      </c>
      <c r="B1182" s="825"/>
      <c r="C1182" s="813"/>
      <c r="D1182" s="766"/>
      <c r="E1182" s="770" t="s">
        <v>1735</v>
      </c>
      <c r="F1182" s="822" t="s">
        <v>1736</v>
      </c>
      <c r="G1182" s="214" t="s">
        <v>19</v>
      </c>
      <c r="H1182" s="219">
        <v>14.5</v>
      </c>
      <c r="I1182" s="307"/>
      <c r="J1182" s="144"/>
      <c r="K1182" s="161"/>
      <c r="L1182" s="45"/>
      <c r="M1182" s="838"/>
    </row>
    <row r="1183" spans="1:13" ht="12.75" customHeight="1" x14ac:dyDescent="0.2">
      <c r="A1183" s="813">
        <v>9</v>
      </c>
      <c r="B1183" s="825"/>
      <c r="C1183" s="813"/>
      <c r="D1183" s="766"/>
      <c r="E1183" s="770" t="s">
        <v>1737</v>
      </c>
      <c r="F1183" s="822" t="s">
        <v>1738</v>
      </c>
      <c r="G1183" s="210" t="s">
        <v>21</v>
      </c>
      <c r="H1183" s="219"/>
      <c r="I1183" s="307"/>
      <c r="J1183" s="823" t="s">
        <v>1739</v>
      </c>
      <c r="K1183" s="823" t="s">
        <v>1647</v>
      </c>
      <c r="L1183" s="829">
        <v>1</v>
      </c>
      <c r="M1183" s="838" t="s">
        <v>190</v>
      </c>
    </row>
    <row r="1184" spans="1:13" ht="12.75" customHeight="1" x14ac:dyDescent="0.2">
      <c r="A1184" s="813">
        <v>9</v>
      </c>
      <c r="B1184" s="825"/>
      <c r="C1184" s="813"/>
      <c r="D1184" s="766"/>
      <c r="E1184" s="770" t="s">
        <v>1737</v>
      </c>
      <c r="F1184" s="822" t="s">
        <v>1738</v>
      </c>
      <c r="G1184" s="311" t="s">
        <v>268</v>
      </c>
      <c r="H1184" s="219">
        <v>1.5</v>
      </c>
      <c r="I1184" s="307"/>
      <c r="J1184" s="145" t="s">
        <v>1740</v>
      </c>
      <c r="K1184" s="823" t="s">
        <v>1647</v>
      </c>
      <c r="L1184" s="829">
        <v>1</v>
      </c>
      <c r="M1184" s="838" t="s">
        <v>183</v>
      </c>
    </row>
    <row r="1185" spans="1:13" ht="12.75" customHeight="1" x14ac:dyDescent="0.2">
      <c r="A1185" s="813">
        <v>9</v>
      </c>
      <c r="B1185" s="825"/>
      <c r="C1185" s="813"/>
      <c r="D1185" s="766"/>
      <c r="E1185" s="770" t="s">
        <v>1741</v>
      </c>
      <c r="F1185" s="822" t="s">
        <v>1742</v>
      </c>
      <c r="G1185" s="210" t="s">
        <v>21</v>
      </c>
      <c r="H1185" s="219"/>
      <c r="I1185" s="307"/>
      <c r="J1185" s="145"/>
      <c r="K1185" s="161"/>
      <c r="L1185" s="45"/>
      <c r="M1185" s="838"/>
    </row>
    <row r="1186" spans="1:13" ht="12.75" customHeight="1" x14ac:dyDescent="0.2">
      <c r="A1186" s="813">
        <v>9</v>
      </c>
      <c r="B1186" s="825"/>
      <c r="C1186" s="813"/>
      <c r="D1186" s="766"/>
      <c r="E1186" s="770" t="s">
        <v>1741</v>
      </c>
      <c r="F1186" s="822" t="s">
        <v>1742</v>
      </c>
      <c r="G1186" s="311" t="s">
        <v>268</v>
      </c>
      <c r="H1186" s="219">
        <v>0.4</v>
      </c>
      <c r="I1186" s="307"/>
      <c r="J1186" s="141" t="s">
        <v>1743</v>
      </c>
      <c r="K1186" s="823" t="s">
        <v>1647</v>
      </c>
      <c r="L1186" s="829">
        <v>1</v>
      </c>
      <c r="M1186" s="838" t="s">
        <v>198</v>
      </c>
    </row>
    <row r="1187" spans="1:13" ht="12.75" customHeight="1" x14ac:dyDescent="0.2">
      <c r="A1187" s="813">
        <v>9</v>
      </c>
      <c r="B1187" s="825"/>
      <c r="C1187" s="813"/>
      <c r="D1187" s="766"/>
      <c r="E1187" s="770" t="s">
        <v>1744</v>
      </c>
      <c r="F1187" s="822" t="s">
        <v>1745</v>
      </c>
      <c r="G1187" s="210" t="s">
        <v>21</v>
      </c>
      <c r="H1187" s="219"/>
      <c r="I1187" s="307"/>
      <c r="J1187" s="141"/>
      <c r="K1187" s="161"/>
      <c r="L1187" s="45"/>
      <c r="M1187" s="838"/>
    </row>
    <row r="1188" spans="1:13" ht="12.75" customHeight="1" x14ac:dyDescent="0.2">
      <c r="A1188" s="813">
        <v>9</v>
      </c>
      <c r="B1188" s="825"/>
      <c r="C1188" s="813"/>
      <c r="D1188" s="766"/>
      <c r="E1188" s="770" t="s">
        <v>1744</v>
      </c>
      <c r="F1188" s="822" t="s">
        <v>1745</v>
      </c>
      <c r="G1188" s="311" t="s">
        <v>268</v>
      </c>
      <c r="H1188" s="219">
        <v>0.6</v>
      </c>
      <c r="I1188" s="307"/>
      <c r="J1188" s="146" t="s">
        <v>1746</v>
      </c>
      <c r="K1188" s="823" t="s">
        <v>1647</v>
      </c>
      <c r="L1188" s="829">
        <v>1</v>
      </c>
      <c r="M1188" s="838" t="s">
        <v>222</v>
      </c>
    </row>
    <row r="1189" spans="1:13" ht="12.75" customHeight="1" x14ac:dyDescent="0.2">
      <c r="A1189" s="813">
        <v>9</v>
      </c>
      <c r="B1189" s="825"/>
      <c r="C1189" s="813"/>
      <c r="D1189" s="766"/>
      <c r="E1189" s="763"/>
      <c r="F1189" s="822"/>
      <c r="G1189" s="765" t="s">
        <v>1535</v>
      </c>
      <c r="H1189" s="432">
        <f>SUM(H1177+H1182)</f>
        <v>46.6</v>
      </c>
      <c r="I1189" s="307"/>
      <c r="J1189" s="823"/>
      <c r="K1189" s="161"/>
      <c r="L1189" s="45"/>
      <c r="M1189" s="838"/>
    </row>
    <row r="1190" spans="1:13" ht="12.75" customHeight="1" x14ac:dyDescent="0.2">
      <c r="A1190" s="813">
        <v>9</v>
      </c>
      <c r="B1190" s="825"/>
      <c r="C1190" s="813"/>
      <c r="D1190" s="766"/>
      <c r="E1190" s="763"/>
      <c r="F1190" s="822"/>
      <c r="G1190" s="765" t="s">
        <v>1536</v>
      </c>
      <c r="H1190" s="432">
        <f>SUM(H1171+H1173+H1175+H1178+H1180+H1183+H1185+H1187)</f>
        <v>0</v>
      </c>
      <c r="I1190" s="307"/>
      <c r="J1190" s="823"/>
      <c r="K1190" s="161"/>
      <c r="L1190" s="45"/>
      <c r="M1190" s="196"/>
    </row>
    <row r="1191" spans="1:13" ht="12.75" customHeight="1" x14ac:dyDescent="0.2">
      <c r="A1191" s="813">
        <v>9</v>
      </c>
      <c r="B1191" s="825"/>
      <c r="C1191" s="813"/>
      <c r="D1191" s="766"/>
      <c r="E1191" s="763"/>
      <c r="F1191" s="822"/>
      <c r="G1191" s="765" t="s">
        <v>1628</v>
      </c>
      <c r="H1191" s="432">
        <f>SUM(H1172,H1174,H1176,H1179,H1181,H1184,H1186,H1188)</f>
        <v>7.4</v>
      </c>
      <c r="I1191" s="307"/>
      <c r="J1191" s="823"/>
      <c r="K1191" s="161"/>
      <c r="L1191" s="45"/>
      <c r="M1191" s="196"/>
    </row>
    <row r="1192" spans="1:13" ht="12.75" customHeight="1" x14ac:dyDescent="0.2">
      <c r="A1192" s="813">
        <v>9</v>
      </c>
      <c r="B1192" s="825"/>
      <c r="C1192" s="813"/>
      <c r="D1192" s="766"/>
      <c r="E1192" s="763"/>
      <c r="F1192" s="822"/>
      <c r="G1192" s="760" t="s">
        <v>247</v>
      </c>
      <c r="H1192" s="761">
        <f>SUM(H1189+H1190+H1191)</f>
        <v>54</v>
      </c>
      <c r="I1192" s="307"/>
      <c r="J1192" s="823"/>
      <c r="K1192" s="161"/>
      <c r="L1192" s="45"/>
      <c r="M1192" s="143"/>
    </row>
    <row r="1193" spans="1:13" ht="21.75" customHeight="1" x14ac:dyDescent="0.2">
      <c r="A1193" s="813">
        <v>9</v>
      </c>
      <c r="B1193" s="825"/>
      <c r="C1193" s="813" t="s">
        <v>1747</v>
      </c>
      <c r="D1193" s="766" t="s">
        <v>1748</v>
      </c>
      <c r="E1193" s="763">
        <v>38</v>
      </c>
      <c r="F1193" s="822" t="s">
        <v>1749</v>
      </c>
      <c r="G1193" s="210" t="s">
        <v>21</v>
      </c>
      <c r="H1193" s="219"/>
      <c r="I1193" s="307"/>
      <c r="J1193" s="155"/>
      <c r="K1193" s="161"/>
      <c r="L1193" s="45"/>
      <c r="M1193" s="196"/>
    </row>
    <row r="1194" spans="1:13" ht="12.75" customHeight="1" x14ac:dyDescent="0.2">
      <c r="A1194" s="813">
        <v>9</v>
      </c>
      <c r="B1194" s="825"/>
      <c r="C1194" s="813"/>
      <c r="D1194" s="766"/>
      <c r="E1194" s="763">
        <v>38</v>
      </c>
      <c r="F1194" s="822" t="s">
        <v>1749</v>
      </c>
      <c r="G1194" s="311" t="s">
        <v>268</v>
      </c>
      <c r="H1194" s="219">
        <v>87.5</v>
      </c>
      <c r="I1194" s="307"/>
      <c r="J1194" s="147" t="s">
        <v>1750</v>
      </c>
      <c r="K1194" s="823" t="s">
        <v>1647</v>
      </c>
      <c r="L1194" s="829">
        <v>1</v>
      </c>
      <c r="M1194" s="143"/>
    </row>
    <row r="1195" spans="1:13" ht="12.75" customHeight="1" x14ac:dyDescent="0.2">
      <c r="A1195" s="813">
        <v>9</v>
      </c>
      <c r="B1195" s="825"/>
      <c r="C1195" s="813"/>
      <c r="D1195" s="766"/>
      <c r="E1195" s="763">
        <v>38</v>
      </c>
      <c r="F1195" s="822" t="s">
        <v>1749</v>
      </c>
      <c r="G1195" s="214" t="s">
        <v>19</v>
      </c>
      <c r="H1195" s="219">
        <v>237.4</v>
      </c>
      <c r="I1195" s="307"/>
      <c r="J1195" s="147" t="s">
        <v>1750</v>
      </c>
      <c r="K1195" s="161"/>
      <c r="L1195" s="45"/>
      <c r="M1195" s="143"/>
    </row>
    <row r="1196" spans="1:13" ht="12.75" customHeight="1" x14ac:dyDescent="0.2">
      <c r="A1196" s="813">
        <v>9</v>
      </c>
      <c r="B1196" s="825"/>
      <c r="C1196" s="813"/>
      <c r="D1196" s="766"/>
      <c r="E1196" s="763"/>
      <c r="F1196" s="822"/>
      <c r="G1196" s="768" t="s">
        <v>247</v>
      </c>
      <c r="H1196" s="769">
        <f>SUM(H1193+H1195+H1194)</f>
        <v>324.89999999999998</v>
      </c>
      <c r="I1196" s="307"/>
      <c r="J1196" s="823"/>
      <c r="K1196" s="161"/>
      <c r="L1196" s="45"/>
      <c r="M1196" s="824"/>
    </row>
    <row r="1197" spans="1:13" ht="12.75" customHeight="1" x14ac:dyDescent="0.2">
      <c r="A1197" s="813">
        <v>9</v>
      </c>
      <c r="B1197" s="825"/>
      <c r="C1197" s="813" t="s">
        <v>1751</v>
      </c>
      <c r="D1197" s="766" t="s">
        <v>1752</v>
      </c>
      <c r="E1197" s="763">
        <v>17</v>
      </c>
      <c r="F1197" s="822" t="s">
        <v>1753</v>
      </c>
      <c r="G1197" s="210" t="s">
        <v>21</v>
      </c>
      <c r="H1197" s="219"/>
      <c r="I1197" s="307"/>
      <c r="J1197" s="156"/>
      <c r="K1197" s="162"/>
      <c r="L1197" s="52"/>
      <c r="M1197" s="838"/>
    </row>
    <row r="1198" spans="1:13" ht="12.75" customHeight="1" x14ac:dyDescent="0.2">
      <c r="A1198" s="813">
        <v>9</v>
      </c>
      <c r="B1198" s="825"/>
      <c r="C1198" s="813"/>
      <c r="D1198" s="766"/>
      <c r="E1198" s="763">
        <v>17</v>
      </c>
      <c r="F1198" s="822" t="s">
        <v>1753</v>
      </c>
      <c r="G1198" s="311" t="s">
        <v>268</v>
      </c>
      <c r="H1198" s="219">
        <f>30+3.7</f>
        <v>33.700000000000003</v>
      </c>
      <c r="I1198" s="307"/>
      <c r="J1198" s="972" t="s">
        <v>93</v>
      </c>
      <c r="K1198" s="836" t="s">
        <v>1754</v>
      </c>
      <c r="L1198" s="837">
        <v>5</v>
      </c>
      <c r="M1198" s="824"/>
    </row>
    <row r="1199" spans="1:13" ht="12.75" customHeight="1" x14ac:dyDescent="0.2">
      <c r="A1199" s="813">
        <v>9</v>
      </c>
      <c r="B1199" s="825"/>
      <c r="C1199" s="813"/>
      <c r="D1199" s="766"/>
      <c r="E1199" s="763"/>
      <c r="F1199" s="822"/>
      <c r="G1199" s="768" t="s">
        <v>247</v>
      </c>
      <c r="H1199" s="769">
        <f>SUM(H1197:H1198)</f>
        <v>33.700000000000003</v>
      </c>
      <c r="I1199" s="307"/>
      <c r="J1199" s="836"/>
      <c r="K1199" s="162"/>
      <c r="L1199" s="52"/>
      <c r="M1199" s="824"/>
    </row>
    <row r="1200" spans="1:13" ht="22.15" customHeight="1" x14ac:dyDescent="0.2">
      <c r="A1200" s="813">
        <v>9</v>
      </c>
      <c r="B1200" s="825"/>
      <c r="C1200" s="813" t="s">
        <v>1755</v>
      </c>
      <c r="D1200" s="209" t="s">
        <v>1756</v>
      </c>
      <c r="E1200" s="214">
        <v>7</v>
      </c>
      <c r="F1200" s="813" t="s">
        <v>1757</v>
      </c>
      <c r="G1200" s="210" t="s">
        <v>21</v>
      </c>
      <c r="H1200" s="219">
        <v>24.4</v>
      </c>
      <c r="I1200" s="307"/>
      <c r="J1200" s="823" t="s">
        <v>1758</v>
      </c>
      <c r="K1200" s="823" t="s">
        <v>1647</v>
      </c>
      <c r="L1200" s="829">
        <v>1</v>
      </c>
      <c r="M1200" s="824"/>
    </row>
    <row r="1201" spans="1:13" ht="12.75" customHeight="1" x14ac:dyDescent="0.2">
      <c r="A1201" s="813">
        <v>9</v>
      </c>
      <c r="B1201" s="825"/>
      <c r="C1201" s="813"/>
      <c r="D1201" s="209"/>
      <c r="E1201" s="214">
        <v>7</v>
      </c>
      <c r="F1201" s="813" t="s">
        <v>1757</v>
      </c>
      <c r="G1201" s="214" t="s">
        <v>19</v>
      </c>
      <c r="H1201" s="219">
        <v>21.9</v>
      </c>
      <c r="I1201" s="307"/>
      <c r="J1201" s="823" t="s">
        <v>1758</v>
      </c>
      <c r="K1201" s="161"/>
      <c r="L1201" s="45"/>
      <c r="M1201" s="824"/>
    </row>
    <row r="1202" spans="1:13" ht="12.75" customHeight="1" x14ac:dyDescent="0.2">
      <c r="A1202" s="813">
        <v>9</v>
      </c>
      <c r="B1202" s="825"/>
      <c r="C1202" s="813"/>
      <c r="D1202" s="209"/>
      <c r="E1202" s="763"/>
      <c r="F1202" s="822"/>
      <c r="G1202" s="768" t="s">
        <v>247</v>
      </c>
      <c r="H1202" s="769">
        <f>SUM(H1200+H1201)</f>
        <v>46.3</v>
      </c>
      <c r="I1202" s="307"/>
      <c r="J1202" s="823"/>
      <c r="K1202" s="161"/>
      <c r="L1202" s="45"/>
      <c r="M1202" s="824"/>
    </row>
    <row r="1203" spans="1:13" ht="29.45" customHeight="1" x14ac:dyDescent="0.2">
      <c r="A1203" s="813">
        <v>9</v>
      </c>
      <c r="B1203" s="825"/>
      <c r="C1203" s="813" t="s">
        <v>1759</v>
      </c>
      <c r="D1203" s="209" t="s">
        <v>1760</v>
      </c>
      <c r="E1203" s="763">
        <v>7</v>
      </c>
      <c r="F1203" s="822" t="s">
        <v>1761</v>
      </c>
      <c r="G1203" s="210" t="s">
        <v>56</v>
      </c>
      <c r="H1203" s="219">
        <v>16.3</v>
      </c>
      <c r="I1203" s="307"/>
      <c r="J1203" s="823" t="s">
        <v>1762</v>
      </c>
      <c r="K1203" s="823" t="s">
        <v>1647</v>
      </c>
      <c r="L1203" s="829">
        <v>1</v>
      </c>
      <c r="M1203" s="824"/>
    </row>
    <row r="1204" spans="1:13" ht="12.75" customHeight="1" x14ac:dyDescent="0.2">
      <c r="A1204" s="813">
        <v>9</v>
      </c>
      <c r="B1204" s="825"/>
      <c r="C1204" s="813"/>
      <c r="D1204" s="209"/>
      <c r="E1204" s="763">
        <v>7</v>
      </c>
      <c r="F1204" s="822" t="s">
        <v>1761</v>
      </c>
      <c r="G1204" s="210" t="s">
        <v>59</v>
      </c>
      <c r="H1204" s="219">
        <v>4.8</v>
      </c>
      <c r="I1204" s="307"/>
      <c r="J1204" s="823" t="s">
        <v>1762</v>
      </c>
      <c r="K1204" s="161"/>
      <c r="L1204" s="45"/>
      <c r="M1204" s="824"/>
    </row>
    <row r="1205" spans="1:13" ht="12.75" customHeight="1" x14ac:dyDescent="0.2">
      <c r="A1205" s="813">
        <v>9</v>
      </c>
      <c r="B1205" s="825"/>
      <c r="C1205" s="813"/>
      <c r="D1205" s="209"/>
      <c r="E1205" s="763"/>
      <c r="F1205" s="822"/>
      <c r="G1205" s="768" t="s">
        <v>247</v>
      </c>
      <c r="H1205" s="769">
        <f>H1203+H1204</f>
        <v>21.1</v>
      </c>
      <c r="I1205" s="307"/>
      <c r="J1205" s="823"/>
      <c r="K1205" s="161"/>
      <c r="L1205" s="45"/>
      <c r="M1205" s="824"/>
    </row>
    <row r="1206" spans="1:13" ht="33.75" x14ac:dyDescent="0.2">
      <c r="A1206" s="813">
        <v>9</v>
      </c>
      <c r="B1206" s="825"/>
      <c r="C1206" s="813" t="s">
        <v>1763</v>
      </c>
      <c r="D1206" s="209" t="s">
        <v>1764</v>
      </c>
      <c r="E1206" s="763">
        <v>7</v>
      </c>
      <c r="F1206" s="822" t="s">
        <v>1765</v>
      </c>
      <c r="G1206" s="210" t="s">
        <v>56</v>
      </c>
      <c r="H1206" s="219">
        <v>26.7</v>
      </c>
      <c r="I1206" s="307"/>
      <c r="J1206" s="823" t="s">
        <v>1766</v>
      </c>
      <c r="K1206" s="823" t="s">
        <v>1647</v>
      </c>
      <c r="L1206" s="829">
        <v>1</v>
      </c>
      <c r="M1206" s="824"/>
    </row>
    <row r="1207" spans="1:13" ht="16.149999999999999" customHeight="1" x14ac:dyDescent="0.2">
      <c r="A1207" s="813">
        <v>9</v>
      </c>
      <c r="B1207" s="825"/>
      <c r="C1207" s="813"/>
      <c r="D1207" s="209"/>
      <c r="E1207" s="763">
        <v>7</v>
      </c>
      <c r="F1207" s="822" t="s">
        <v>1765</v>
      </c>
      <c r="G1207" s="210" t="s">
        <v>59</v>
      </c>
      <c r="H1207" s="219">
        <v>4.4000000000000004</v>
      </c>
      <c r="I1207" s="307"/>
      <c r="J1207" s="823" t="s">
        <v>1766</v>
      </c>
      <c r="K1207" s="161"/>
      <c r="L1207" s="45"/>
      <c r="M1207" s="824"/>
    </row>
    <row r="1208" spans="1:13" ht="12.75" customHeight="1" x14ac:dyDescent="0.2">
      <c r="A1208" s="813">
        <v>9</v>
      </c>
      <c r="B1208" s="825"/>
      <c r="C1208" s="813"/>
      <c r="D1208" s="209"/>
      <c r="E1208" s="763"/>
      <c r="F1208" s="822"/>
      <c r="G1208" s="768" t="s">
        <v>247</v>
      </c>
      <c r="H1208" s="769">
        <f>H1206+H1207</f>
        <v>31.1</v>
      </c>
      <c r="I1208" s="307"/>
      <c r="J1208" s="68"/>
      <c r="K1208" s="161"/>
      <c r="L1208" s="45"/>
      <c r="M1208" s="824"/>
    </row>
    <row r="1209" spans="1:13" ht="22.5" x14ac:dyDescent="0.2">
      <c r="A1209" s="813">
        <v>9</v>
      </c>
      <c r="B1209" s="825"/>
      <c r="C1209" s="813" t="s">
        <v>1767</v>
      </c>
      <c r="D1209" s="209" t="s">
        <v>1768</v>
      </c>
      <c r="E1209" s="763">
        <v>7</v>
      </c>
      <c r="F1209" s="822" t="s">
        <v>1769</v>
      </c>
      <c r="G1209" s="214" t="s">
        <v>56</v>
      </c>
      <c r="H1209" s="219">
        <v>19.8</v>
      </c>
      <c r="I1209" s="307"/>
      <c r="J1209" s="823" t="s">
        <v>1706</v>
      </c>
      <c r="K1209" s="823" t="s">
        <v>1647</v>
      </c>
      <c r="L1209" s="829">
        <v>1</v>
      </c>
      <c r="M1209" s="824"/>
    </row>
    <row r="1210" spans="1:13" ht="12.75" customHeight="1" x14ac:dyDescent="0.2">
      <c r="A1210" s="813">
        <v>9</v>
      </c>
      <c r="B1210" s="825"/>
      <c r="C1210" s="813"/>
      <c r="D1210" s="209"/>
      <c r="E1210" s="763">
        <v>7</v>
      </c>
      <c r="F1210" s="822" t="s">
        <v>1769</v>
      </c>
      <c r="G1210" s="214" t="s">
        <v>59</v>
      </c>
      <c r="H1210" s="219">
        <v>6.6</v>
      </c>
      <c r="I1210" s="307"/>
      <c r="J1210" s="823" t="s">
        <v>1706</v>
      </c>
      <c r="K1210" s="161"/>
      <c r="L1210" s="45"/>
      <c r="M1210" s="824"/>
    </row>
    <row r="1211" spans="1:13" ht="12.75" customHeight="1" x14ac:dyDescent="0.2">
      <c r="A1211" s="813">
        <v>9</v>
      </c>
      <c r="B1211" s="825"/>
      <c r="C1211" s="813"/>
      <c r="D1211" s="209"/>
      <c r="E1211" s="763">
        <v>7</v>
      </c>
      <c r="F1211" s="822" t="s">
        <v>1769</v>
      </c>
      <c r="G1211" s="768" t="s">
        <v>247</v>
      </c>
      <c r="H1211" s="769">
        <f>SUM(H1209+H1210)</f>
        <v>26.4</v>
      </c>
      <c r="I1211" s="307"/>
      <c r="J1211" s="68"/>
      <c r="K1211" s="161"/>
      <c r="L1211" s="45"/>
      <c r="M1211" s="824"/>
    </row>
    <row r="1212" spans="1:13" ht="18" customHeight="1" x14ac:dyDescent="0.2">
      <c r="A1212" s="813">
        <v>9</v>
      </c>
      <c r="B1212" s="757" t="s">
        <v>1770</v>
      </c>
      <c r="C1212" s="757" t="s">
        <v>1770</v>
      </c>
      <c r="D1212" s="758" t="s">
        <v>1771</v>
      </c>
      <c r="E1212" s="827"/>
      <c r="F1212" s="822"/>
      <c r="G1212" s="207" t="s">
        <v>1772</v>
      </c>
      <c r="H1212" s="207">
        <f>SUM(H1214,H1216)</f>
        <v>1863.4</v>
      </c>
      <c r="I1212" s="307"/>
      <c r="J1212" s="823"/>
      <c r="K1212" s="161"/>
      <c r="L1212" s="45"/>
      <c r="M1212" s="824"/>
    </row>
    <row r="1213" spans="1:13" ht="12.75" customHeight="1" x14ac:dyDescent="0.2">
      <c r="A1213" s="813">
        <v>9</v>
      </c>
      <c r="B1213" s="825"/>
      <c r="C1213" s="841"/>
      <c r="D1213" s="826"/>
      <c r="E1213" s="827"/>
      <c r="F1213" s="822"/>
      <c r="G1213" s="760" t="s">
        <v>247</v>
      </c>
      <c r="H1213" s="761">
        <f>SUM(H1212:H1212)</f>
        <v>1863.4</v>
      </c>
      <c r="I1213" s="307"/>
      <c r="J1213" s="823"/>
      <c r="K1213" s="161"/>
      <c r="L1213" s="45"/>
      <c r="M1213" s="824"/>
    </row>
    <row r="1214" spans="1:13" ht="12.75" customHeight="1" x14ac:dyDescent="0.2">
      <c r="A1214" s="813">
        <v>9</v>
      </c>
      <c r="B1214" s="825"/>
      <c r="C1214" s="841" t="s">
        <v>1773</v>
      </c>
      <c r="D1214" s="209" t="s">
        <v>1774</v>
      </c>
      <c r="E1214" s="732">
        <v>4</v>
      </c>
      <c r="F1214" s="822" t="s">
        <v>1775</v>
      </c>
      <c r="G1214" s="828" t="s">
        <v>19</v>
      </c>
      <c r="H1214" s="219">
        <v>500</v>
      </c>
      <c r="I1214" s="307" t="s">
        <v>49</v>
      </c>
      <c r="J1214" s="823" t="s">
        <v>1776</v>
      </c>
      <c r="K1214" s="823" t="s">
        <v>367</v>
      </c>
      <c r="L1214" s="829">
        <v>100</v>
      </c>
      <c r="M1214" s="824"/>
    </row>
    <row r="1215" spans="1:13" ht="12.75" customHeight="1" x14ac:dyDescent="0.2">
      <c r="A1215" s="813">
        <v>9</v>
      </c>
      <c r="B1215" s="825"/>
      <c r="C1215" s="841"/>
      <c r="D1215" s="209"/>
      <c r="E1215" s="732">
        <v>4</v>
      </c>
      <c r="F1215" s="822" t="s">
        <v>1775</v>
      </c>
      <c r="G1215" s="768" t="s">
        <v>247</v>
      </c>
      <c r="H1215" s="769">
        <f>SUM(H1214)</f>
        <v>500</v>
      </c>
      <c r="I1215" s="307"/>
      <c r="J1215" s="823"/>
      <c r="K1215" s="823"/>
      <c r="L1215" s="829"/>
      <c r="M1215" s="824"/>
    </row>
    <row r="1216" spans="1:13" ht="12.75" customHeight="1" x14ac:dyDescent="0.2">
      <c r="A1216" s="813">
        <v>9</v>
      </c>
      <c r="B1216" s="825"/>
      <c r="C1216" s="813" t="s">
        <v>1777</v>
      </c>
      <c r="D1216" s="209" t="s">
        <v>1778</v>
      </c>
      <c r="E1216" s="732">
        <v>4</v>
      </c>
      <c r="F1216" s="822" t="s">
        <v>1779</v>
      </c>
      <c r="G1216" s="828" t="s">
        <v>19</v>
      </c>
      <c r="H1216" s="219">
        <f>2263.4-900</f>
        <v>1363.4</v>
      </c>
      <c r="I1216" s="307" t="s">
        <v>49</v>
      </c>
      <c r="J1216" s="823" t="s">
        <v>1776</v>
      </c>
      <c r="K1216" s="823" t="s">
        <v>367</v>
      </c>
      <c r="L1216" s="829">
        <v>100</v>
      </c>
      <c r="M1216" s="824"/>
    </row>
    <row r="1217" spans="1:13" ht="12.75" customHeight="1" x14ac:dyDescent="0.2">
      <c r="A1217" s="813">
        <v>9</v>
      </c>
      <c r="B1217" s="825"/>
      <c r="C1217" s="813"/>
      <c r="D1217" s="209"/>
      <c r="E1217" s="732">
        <v>4</v>
      </c>
      <c r="F1217" s="822" t="s">
        <v>1779</v>
      </c>
      <c r="G1217" s="979" t="s">
        <v>177</v>
      </c>
      <c r="H1217" s="219">
        <v>900</v>
      </c>
      <c r="I1217" s="307"/>
      <c r="J1217" s="823"/>
      <c r="K1217" s="823"/>
      <c r="L1217" s="829"/>
      <c r="M1217" s="824"/>
    </row>
    <row r="1218" spans="1:13" ht="12.75" customHeight="1" x14ac:dyDescent="0.2">
      <c r="A1218" s="813">
        <v>9</v>
      </c>
      <c r="B1218" s="825"/>
      <c r="C1218" s="813"/>
      <c r="D1218" s="209"/>
      <c r="E1218" s="732">
        <v>4</v>
      </c>
      <c r="F1218" s="822" t="s">
        <v>1779</v>
      </c>
      <c r="G1218" s="768" t="s">
        <v>247</v>
      </c>
      <c r="H1218" s="769">
        <f>SUM(H1216:H1217)</f>
        <v>2263.4</v>
      </c>
      <c r="I1218" s="307"/>
      <c r="J1218" s="823"/>
      <c r="K1218" s="161"/>
      <c r="L1218" s="45"/>
      <c r="M1218" s="824"/>
    </row>
    <row r="1219" spans="1:13" ht="45" x14ac:dyDescent="0.2">
      <c r="A1219" s="813">
        <v>9</v>
      </c>
      <c r="B1219" s="314"/>
      <c r="C1219" s="314"/>
      <c r="D1219" s="771" t="s">
        <v>1780</v>
      </c>
      <c r="E1219" s="723"/>
      <c r="F1219" s="316"/>
      <c r="G1219" s="314"/>
      <c r="H1219" s="316"/>
      <c r="I1219" s="307"/>
      <c r="J1219" s="823"/>
      <c r="K1219" s="161"/>
      <c r="L1219" s="45"/>
      <c r="M1219" s="824"/>
    </row>
    <row r="1220" spans="1:13" ht="22.5" x14ac:dyDescent="0.2">
      <c r="A1220" s="813">
        <v>9</v>
      </c>
      <c r="B1220" s="757" t="s">
        <v>1781</v>
      </c>
      <c r="C1220" s="757" t="s">
        <v>1781</v>
      </c>
      <c r="D1220" s="758" t="s">
        <v>1782</v>
      </c>
      <c r="E1220" s="772"/>
      <c r="F1220" s="773"/>
      <c r="G1220" s="207" t="s">
        <v>1535</v>
      </c>
      <c r="H1220" s="207">
        <f>SUM(H1226+H1228+H1230+H1233+H1235+H1237+H1240+H1242+H1246+H1244+H1250)</f>
        <v>707.9</v>
      </c>
      <c r="I1220" s="307"/>
      <c r="J1220" s="823"/>
      <c r="K1220" s="161"/>
      <c r="L1220" s="45"/>
      <c r="M1220" s="824"/>
    </row>
    <row r="1221" spans="1:13" ht="12.75" customHeight="1" x14ac:dyDescent="0.2">
      <c r="A1221" s="813">
        <v>9</v>
      </c>
      <c r="B1221" s="825"/>
      <c r="C1221" s="841"/>
      <c r="D1221" s="826"/>
      <c r="E1221" s="827"/>
      <c r="F1221" s="822"/>
      <c r="G1221" s="207" t="s">
        <v>1783</v>
      </c>
      <c r="H1221" s="207">
        <f>H1231</f>
        <v>10</v>
      </c>
      <c r="I1221" s="307"/>
      <c r="J1221" s="823"/>
      <c r="K1221" s="161"/>
      <c r="L1221" s="45"/>
      <c r="M1221" s="824"/>
    </row>
    <row r="1222" spans="1:13" ht="12.75" customHeight="1" x14ac:dyDescent="0.2">
      <c r="A1222" s="813">
        <v>9</v>
      </c>
      <c r="B1222" s="825"/>
      <c r="C1222" s="841"/>
      <c r="D1222" s="826"/>
      <c r="E1222" s="827"/>
      <c r="F1222" s="822"/>
      <c r="G1222" s="207" t="s">
        <v>1784</v>
      </c>
      <c r="H1222" s="207">
        <f>SUM(H1238)</f>
        <v>460.8</v>
      </c>
      <c r="I1222" s="307"/>
      <c r="J1222" s="823"/>
      <c r="K1222" s="161"/>
      <c r="L1222" s="45"/>
      <c r="M1222" s="824"/>
    </row>
    <row r="1223" spans="1:13" ht="12.75" customHeight="1" x14ac:dyDescent="0.2">
      <c r="A1223" s="813">
        <v>9</v>
      </c>
      <c r="B1223" s="825"/>
      <c r="C1223" s="841"/>
      <c r="D1223" s="826"/>
      <c r="E1223" s="827"/>
      <c r="F1223" s="822"/>
      <c r="G1223" s="207" t="s">
        <v>1536</v>
      </c>
      <c r="H1223" s="207">
        <f t="shared" ref="H1223:H1224" si="15">SUM(H1247)</f>
        <v>8.4</v>
      </c>
      <c r="I1223" s="307"/>
      <c r="J1223" s="823"/>
      <c r="K1223" s="161"/>
      <c r="L1223" s="45"/>
      <c r="M1223" s="824"/>
    </row>
    <row r="1224" spans="1:13" ht="12.75" customHeight="1" x14ac:dyDescent="0.2">
      <c r="A1224" s="813">
        <v>9</v>
      </c>
      <c r="B1224" s="825"/>
      <c r="C1224" s="841"/>
      <c r="D1224" s="826"/>
      <c r="E1224" s="827"/>
      <c r="F1224" s="822"/>
      <c r="G1224" s="207" t="s">
        <v>1785</v>
      </c>
      <c r="H1224" s="207">
        <f t="shared" si="15"/>
        <v>31.4</v>
      </c>
      <c r="I1224" s="307"/>
      <c r="J1224" s="823"/>
      <c r="K1224" s="161"/>
      <c r="L1224" s="45"/>
      <c r="M1224" s="824"/>
    </row>
    <row r="1225" spans="1:13" ht="12.75" customHeight="1" x14ac:dyDescent="0.2">
      <c r="A1225" s="813">
        <v>9</v>
      </c>
      <c r="B1225" s="825"/>
      <c r="C1225" s="841"/>
      <c r="D1225" s="826"/>
      <c r="E1225" s="827"/>
      <c r="F1225" s="822"/>
      <c r="G1225" s="760" t="s">
        <v>247</v>
      </c>
      <c r="H1225" s="761">
        <f>SUM(H1220:H1224)</f>
        <v>1218.5000000000002</v>
      </c>
      <c r="I1225" s="307"/>
      <c r="J1225" s="823"/>
      <c r="K1225" s="161"/>
      <c r="L1225" s="45"/>
      <c r="M1225" s="824"/>
    </row>
    <row r="1226" spans="1:13" ht="18" customHeight="1" x14ac:dyDescent="0.2">
      <c r="A1226" s="813">
        <v>9</v>
      </c>
      <c r="B1226" s="825"/>
      <c r="C1226" s="841" t="s">
        <v>1786</v>
      </c>
      <c r="D1226" s="826" t="s">
        <v>1787</v>
      </c>
      <c r="E1226" s="827">
        <v>13</v>
      </c>
      <c r="F1226" s="822" t="s">
        <v>1788</v>
      </c>
      <c r="G1226" s="828" t="s">
        <v>19</v>
      </c>
      <c r="H1226" s="219">
        <f>150</f>
        <v>150</v>
      </c>
      <c r="I1226" s="307" t="s">
        <v>64</v>
      </c>
      <c r="J1226" s="842" t="s">
        <v>1789</v>
      </c>
      <c r="K1226" s="823" t="s">
        <v>1790</v>
      </c>
      <c r="L1226" s="829">
        <v>100</v>
      </c>
      <c r="M1226" s="824"/>
    </row>
    <row r="1227" spans="1:13" ht="12.75" customHeight="1" x14ac:dyDescent="0.2">
      <c r="A1227" s="813">
        <v>9</v>
      </c>
      <c r="B1227" s="825"/>
      <c r="C1227" s="841"/>
      <c r="D1227" s="826"/>
      <c r="E1227" s="827"/>
      <c r="F1227" s="822"/>
      <c r="G1227" s="768" t="s">
        <v>247</v>
      </c>
      <c r="H1227" s="769">
        <f>SUM(H1226)</f>
        <v>150</v>
      </c>
      <c r="I1227" s="307"/>
      <c r="J1227" s="823"/>
      <c r="K1227" s="161"/>
      <c r="L1227" s="45"/>
      <c r="M1227" s="824"/>
    </row>
    <row r="1228" spans="1:13" ht="21.75" customHeight="1" x14ac:dyDescent="0.2">
      <c r="A1228" s="813">
        <v>9</v>
      </c>
      <c r="B1228" s="825"/>
      <c r="C1228" s="841" t="s">
        <v>1791</v>
      </c>
      <c r="D1228" s="826" t="s">
        <v>1792</v>
      </c>
      <c r="E1228" s="827">
        <v>3</v>
      </c>
      <c r="F1228" s="822" t="s">
        <v>1793</v>
      </c>
      <c r="G1228" s="828" t="s">
        <v>19</v>
      </c>
      <c r="H1228" s="219">
        <v>160</v>
      </c>
      <c r="I1228" s="307" t="s">
        <v>64</v>
      </c>
      <c r="J1228" s="141" t="s">
        <v>1794</v>
      </c>
      <c r="K1228" s="823" t="s">
        <v>1795</v>
      </c>
      <c r="L1228" s="829">
        <v>100</v>
      </c>
      <c r="M1228" s="824"/>
    </row>
    <row r="1229" spans="1:13" ht="12.75" customHeight="1" x14ac:dyDescent="0.2">
      <c r="A1229" s="813">
        <v>9</v>
      </c>
      <c r="B1229" s="825"/>
      <c r="C1229" s="841"/>
      <c r="D1229" s="826"/>
      <c r="E1229" s="827"/>
      <c r="F1229" s="822"/>
      <c r="G1229" s="768" t="s">
        <v>247</v>
      </c>
      <c r="H1229" s="769">
        <f>SUM(H1228)</f>
        <v>160</v>
      </c>
      <c r="I1229" s="307"/>
      <c r="J1229" s="823"/>
      <c r="K1229" s="161"/>
      <c r="L1229" s="45"/>
      <c r="M1229" s="824"/>
    </row>
    <row r="1230" spans="1:13" ht="90" x14ac:dyDescent="0.2">
      <c r="A1230" s="813">
        <v>9</v>
      </c>
      <c r="B1230" s="825"/>
      <c r="C1230" s="841" t="s">
        <v>1796</v>
      </c>
      <c r="D1230" s="826" t="s">
        <v>1797</v>
      </c>
      <c r="E1230" s="828">
        <v>10</v>
      </c>
      <c r="F1230" s="813" t="s">
        <v>1798</v>
      </c>
      <c r="G1230" s="311" t="s">
        <v>19</v>
      </c>
      <c r="H1230" s="219">
        <v>50</v>
      </c>
      <c r="I1230" s="307" t="s">
        <v>49</v>
      </c>
      <c r="J1230" s="823" t="s">
        <v>1799</v>
      </c>
      <c r="K1230" s="823" t="s">
        <v>1800</v>
      </c>
      <c r="L1230" s="843" t="s">
        <v>1801</v>
      </c>
      <c r="M1230" s="824"/>
    </row>
    <row r="1231" spans="1:13" ht="19.149999999999999" customHeight="1" x14ac:dyDescent="0.2">
      <c r="A1231" s="813">
        <v>9</v>
      </c>
      <c r="B1231" s="825"/>
      <c r="C1231" s="841"/>
      <c r="D1231" s="826"/>
      <c r="E1231" s="827">
        <v>10</v>
      </c>
      <c r="F1231" s="822" t="s">
        <v>1798</v>
      </c>
      <c r="G1231" s="307" t="s">
        <v>249</v>
      </c>
      <c r="H1231" s="219">
        <v>10</v>
      </c>
      <c r="I1231" s="307"/>
      <c r="J1231" s="823" t="s">
        <v>1799</v>
      </c>
      <c r="K1231" s="161"/>
      <c r="L1231" s="45"/>
      <c r="M1231" s="824"/>
    </row>
    <row r="1232" spans="1:13" ht="12.75" customHeight="1" x14ac:dyDescent="0.2">
      <c r="A1232" s="813">
        <v>9</v>
      </c>
      <c r="B1232" s="825"/>
      <c r="C1232" s="841"/>
      <c r="D1232" s="826"/>
      <c r="E1232" s="827"/>
      <c r="F1232" s="822"/>
      <c r="G1232" s="768" t="s">
        <v>247</v>
      </c>
      <c r="H1232" s="769">
        <f>SUM(H1230:H1231)</f>
        <v>60</v>
      </c>
      <c r="I1232" s="307"/>
      <c r="J1232" s="823"/>
      <c r="K1232" s="161"/>
      <c r="L1232" s="45"/>
      <c r="M1232" s="824"/>
    </row>
    <row r="1233" spans="1:13" ht="12.75" customHeight="1" x14ac:dyDescent="0.2">
      <c r="A1233" s="813">
        <v>9</v>
      </c>
      <c r="B1233" s="825"/>
      <c r="C1233" s="841" t="s">
        <v>1802</v>
      </c>
      <c r="D1233" s="826" t="s">
        <v>1803</v>
      </c>
      <c r="E1233" s="827">
        <v>10</v>
      </c>
      <c r="F1233" s="822" t="s">
        <v>1804</v>
      </c>
      <c r="G1233" s="311" t="s">
        <v>19</v>
      </c>
      <c r="H1233" s="219">
        <v>44</v>
      </c>
      <c r="I1233" s="307" t="s">
        <v>49</v>
      </c>
      <c r="J1233" s="147" t="s">
        <v>366</v>
      </c>
      <c r="K1233" s="823" t="s">
        <v>1805</v>
      </c>
      <c r="L1233" s="829">
        <v>100</v>
      </c>
      <c r="M1233" s="824"/>
    </row>
    <row r="1234" spans="1:13" ht="12.75" customHeight="1" x14ac:dyDescent="0.2">
      <c r="A1234" s="813">
        <v>9</v>
      </c>
      <c r="B1234" s="825"/>
      <c r="C1234" s="841"/>
      <c r="D1234" s="826"/>
      <c r="E1234" s="827"/>
      <c r="F1234" s="822"/>
      <c r="G1234" s="768" t="s">
        <v>247</v>
      </c>
      <c r="H1234" s="769">
        <f>SUM(H1233)</f>
        <v>44</v>
      </c>
      <c r="I1234" s="307"/>
      <c r="J1234" s="823"/>
      <c r="K1234" s="161"/>
      <c r="L1234" s="45"/>
      <c r="M1234" s="824"/>
    </row>
    <row r="1235" spans="1:13" ht="12.75" customHeight="1" x14ac:dyDescent="0.2">
      <c r="A1235" s="813">
        <v>9</v>
      </c>
      <c r="B1235" s="825"/>
      <c r="C1235" s="841" t="s">
        <v>1806</v>
      </c>
      <c r="D1235" s="844" t="s">
        <v>1807</v>
      </c>
      <c r="E1235" s="827" t="s">
        <v>1808</v>
      </c>
      <c r="F1235" s="822" t="s">
        <v>1809</v>
      </c>
      <c r="G1235" s="828" t="s">
        <v>19</v>
      </c>
      <c r="H1235" s="219">
        <v>46.8</v>
      </c>
      <c r="I1235" s="307" t="s">
        <v>49</v>
      </c>
      <c r="J1235" s="144" t="s">
        <v>1810</v>
      </c>
      <c r="K1235" s="823" t="s">
        <v>367</v>
      </c>
      <c r="L1235" s="829">
        <v>100</v>
      </c>
      <c r="M1235" s="824"/>
    </row>
    <row r="1236" spans="1:13" ht="12.75" customHeight="1" x14ac:dyDescent="0.2">
      <c r="A1236" s="813">
        <v>9</v>
      </c>
      <c r="B1236" s="825"/>
      <c r="C1236" s="841"/>
      <c r="D1236" s="844"/>
      <c r="E1236" s="827"/>
      <c r="F1236" s="822"/>
      <c r="G1236" s="768" t="s">
        <v>247</v>
      </c>
      <c r="H1236" s="769">
        <f>SUM(H1235)</f>
        <v>46.8</v>
      </c>
      <c r="I1236" s="307"/>
      <c r="J1236" s="823"/>
      <c r="K1236" s="161"/>
      <c r="L1236" s="45"/>
      <c r="M1236" s="824"/>
    </row>
    <row r="1237" spans="1:13" ht="22.5" x14ac:dyDescent="0.2">
      <c r="A1237" s="813">
        <v>9</v>
      </c>
      <c r="B1237" s="825"/>
      <c r="C1237" s="841" t="s">
        <v>1811</v>
      </c>
      <c r="D1237" s="209" t="s">
        <v>1812</v>
      </c>
      <c r="E1237" s="774" t="s">
        <v>810</v>
      </c>
      <c r="F1237" s="480" t="s">
        <v>1813</v>
      </c>
      <c r="G1237" s="828" t="s">
        <v>19</v>
      </c>
      <c r="H1237" s="219">
        <f>234.1-50</f>
        <v>184.1</v>
      </c>
      <c r="I1237" s="307" t="s">
        <v>49</v>
      </c>
      <c r="J1237" s="823" t="s">
        <v>1814</v>
      </c>
      <c r="K1237" s="823" t="s">
        <v>1815</v>
      </c>
      <c r="L1237" s="829">
        <v>8</v>
      </c>
      <c r="M1237" s="824"/>
    </row>
    <row r="1238" spans="1:13" ht="27" customHeight="1" x14ac:dyDescent="0.2">
      <c r="A1238" s="813">
        <v>9</v>
      </c>
      <c r="B1238" s="825"/>
      <c r="C1238" s="841"/>
      <c r="D1238" s="209"/>
      <c r="E1238" s="774" t="s">
        <v>810</v>
      </c>
      <c r="F1238" s="480" t="s">
        <v>1813</v>
      </c>
      <c r="G1238" s="813" t="s">
        <v>75</v>
      </c>
      <c r="H1238" s="219">
        <v>460.8</v>
      </c>
      <c r="I1238" s="307" t="s">
        <v>49</v>
      </c>
      <c r="J1238" s="823" t="s">
        <v>1814</v>
      </c>
      <c r="K1238" s="161"/>
      <c r="L1238" s="45"/>
      <c r="M1238" s="824"/>
    </row>
    <row r="1239" spans="1:13" ht="12.75" customHeight="1" x14ac:dyDescent="0.2">
      <c r="A1239" s="813">
        <v>9</v>
      </c>
      <c r="B1239" s="825"/>
      <c r="C1239" s="841"/>
      <c r="D1239" s="209"/>
      <c r="E1239" s="775"/>
      <c r="F1239" s="480"/>
      <c r="G1239" s="768" t="s">
        <v>247</v>
      </c>
      <c r="H1239" s="769">
        <f>SUM(H1237:H1238)</f>
        <v>644.9</v>
      </c>
      <c r="I1239" s="307"/>
      <c r="J1239" s="823"/>
      <c r="K1239" s="161"/>
      <c r="L1239" s="45"/>
      <c r="M1239" s="824"/>
    </row>
    <row r="1240" spans="1:13" ht="33.75" x14ac:dyDescent="0.2">
      <c r="A1240" s="813">
        <v>9</v>
      </c>
      <c r="B1240" s="825"/>
      <c r="C1240" s="841" t="s">
        <v>1816</v>
      </c>
      <c r="D1240" s="826" t="s">
        <v>1817</v>
      </c>
      <c r="E1240" s="827">
        <v>36</v>
      </c>
      <c r="F1240" s="822" t="s">
        <v>1818</v>
      </c>
      <c r="G1240" s="828" t="s">
        <v>19</v>
      </c>
      <c r="H1240" s="219">
        <v>50</v>
      </c>
      <c r="I1240" s="307" t="s">
        <v>49</v>
      </c>
      <c r="J1240" s="823" t="s">
        <v>1819</v>
      </c>
      <c r="K1240" s="823" t="s">
        <v>1820</v>
      </c>
      <c r="L1240" s="829">
        <v>5</v>
      </c>
      <c r="M1240" s="824"/>
    </row>
    <row r="1241" spans="1:13" ht="12.75" customHeight="1" x14ac:dyDescent="0.2">
      <c r="A1241" s="813">
        <v>9</v>
      </c>
      <c r="B1241" s="825"/>
      <c r="C1241" s="841"/>
      <c r="D1241" s="826"/>
      <c r="E1241" s="827"/>
      <c r="F1241" s="822"/>
      <c r="G1241" s="768" t="s">
        <v>247</v>
      </c>
      <c r="H1241" s="769">
        <f>SUM(H1240)</f>
        <v>50</v>
      </c>
      <c r="I1241" s="307"/>
      <c r="J1241" s="823"/>
      <c r="K1241" s="823"/>
      <c r="L1241" s="829"/>
      <c r="M1241" s="824"/>
    </row>
    <row r="1242" spans="1:13" ht="22.5" x14ac:dyDescent="0.2">
      <c r="A1242" s="813">
        <v>9</v>
      </c>
      <c r="B1242" s="825"/>
      <c r="C1242" s="841" t="s">
        <v>1821</v>
      </c>
      <c r="D1242" s="826" t="s">
        <v>1822</v>
      </c>
      <c r="E1242" s="827">
        <v>36</v>
      </c>
      <c r="F1242" s="822" t="s">
        <v>1823</v>
      </c>
      <c r="G1242" s="828" t="s">
        <v>19</v>
      </c>
      <c r="H1242" s="219">
        <v>10</v>
      </c>
      <c r="I1242" s="307" t="s">
        <v>49</v>
      </c>
      <c r="J1242" s="823" t="s">
        <v>1824</v>
      </c>
      <c r="K1242" s="823" t="s">
        <v>1825</v>
      </c>
      <c r="L1242" s="829">
        <v>7</v>
      </c>
      <c r="M1242" s="824"/>
    </row>
    <row r="1243" spans="1:13" ht="12.75" customHeight="1" x14ac:dyDescent="0.2">
      <c r="A1243" s="813">
        <v>9</v>
      </c>
      <c r="B1243" s="825"/>
      <c r="C1243" s="841"/>
      <c r="D1243" s="826"/>
      <c r="E1243" s="827"/>
      <c r="F1243" s="822"/>
      <c r="G1243" s="768" t="s">
        <v>247</v>
      </c>
      <c r="H1243" s="769">
        <f>SUM(H1242)</f>
        <v>10</v>
      </c>
      <c r="I1243" s="307"/>
      <c r="J1243" s="823"/>
      <c r="K1243" s="823"/>
      <c r="L1243" s="829"/>
      <c r="M1243" s="824"/>
    </row>
    <row r="1244" spans="1:13" ht="22.5" x14ac:dyDescent="0.2">
      <c r="A1244" s="813">
        <v>9</v>
      </c>
      <c r="B1244" s="825"/>
      <c r="C1244" s="841" t="s">
        <v>1826</v>
      </c>
      <c r="D1244" s="826" t="s">
        <v>1827</v>
      </c>
      <c r="E1244" s="828">
        <v>39</v>
      </c>
      <c r="F1244" s="813" t="s">
        <v>1828</v>
      </c>
      <c r="G1244" s="828" t="s">
        <v>19</v>
      </c>
      <c r="H1244" s="219">
        <v>10</v>
      </c>
      <c r="I1244" s="307" t="s">
        <v>64</v>
      </c>
      <c r="J1244" s="823" t="s">
        <v>1829</v>
      </c>
      <c r="K1244" s="823" t="s">
        <v>1830</v>
      </c>
      <c r="L1244" s="829">
        <v>2</v>
      </c>
      <c r="M1244" s="824"/>
    </row>
    <row r="1245" spans="1:13" ht="12.75" customHeight="1" x14ac:dyDescent="0.2">
      <c r="A1245" s="813">
        <v>9</v>
      </c>
      <c r="B1245" s="825"/>
      <c r="C1245" s="841"/>
      <c r="D1245" s="826"/>
      <c r="E1245" s="813"/>
      <c r="F1245" s="813"/>
      <c r="G1245" s="768" t="s">
        <v>247</v>
      </c>
      <c r="H1245" s="769">
        <f>SUM(H1244)</f>
        <v>10</v>
      </c>
      <c r="I1245" s="307"/>
      <c r="J1245" s="823"/>
      <c r="K1245" s="161"/>
      <c r="L1245" s="45"/>
      <c r="M1245" s="824"/>
    </row>
    <row r="1246" spans="1:13" ht="22.5" x14ac:dyDescent="0.2">
      <c r="A1246" s="813">
        <v>9</v>
      </c>
      <c r="B1246" s="825"/>
      <c r="C1246" s="841" t="s">
        <v>1831</v>
      </c>
      <c r="D1246" s="826" t="s">
        <v>1832</v>
      </c>
      <c r="E1246" s="813">
        <v>10</v>
      </c>
      <c r="F1246" s="813" t="s">
        <v>1833</v>
      </c>
      <c r="G1246" s="828" t="s">
        <v>19</v>
      </c>
      <c r="H1246" s="219"/>
      <c r="I1246" s="307" t="s">
        <v>181</v>
      </c>
      <c r="J1246" s="823" t="s">
        <v>1834</v>
      </c>
      <c r="K1246" s="161"/>
      <c r="L1246" s="45"/>
      <c r="M1246" s="824"/>
    </row>
    <row r="1247" spans="1:13" ht="20.25" customHeight="1" x14ac:dyDescent="0.2">
      <c r="A1247" s="813">
        <v>9</v>
      </c>
      <c r="B1247" s="825"/>
      <c r="C1247" s="841"/>
      <c r="D1247" s="826"/>
      <c r="E1247" s="813">
        <v>10</v>
      </c>
      <c r="F1247" s="813" t="s">
        <v>1833</v>
      </c>
      <c r="G1247" s="813" t="s">
        <v>21</v>
      </c>
      <c r="H1247" s="219">
        <v>8.4</v>
      </c>
      <c r="I1247" s="307" t="s">
        <v>181</v>
      </c>
      <c r="J1247" s="823" t="s">
        <v>1834</v>
      </c>
      <c r="K1247" s="163"/>
      <c r="L1247" s="57"/>
      <c r="M1247" s="824"/>
    </row>
    <row r="1248" spans="1:13" ht="12.75" customHeight="1" x14ac:dyDescent="0.2">
      <c r="A1248" s="813">
        <v>9</v>
      </c>
      <c r="B1248" s="825"/>
      <c r="C1248" s="841"/>
      <c r="D1248" s="826"/>
      <c r="E1248" s="813">
        <v>10</v>
      </c>
      <c r="F1248" s="813" t="s">
        <v>1833</v>
      </c>
      <c r="G1248" s="813" t="s">
        <v>56</v>
      </c>
      <c r="H1248" s="219">
        <v>31.4</v>
      </c>
      <c r="I1248" s="307" t="s">
        <v>181</v>
      </c>
      <c r="J1248" s="823" t="s">
        <v>1834</v>
      </c>
      <c r="K1248" s="823" t="s">
        <v>1835</v>
      </c>
      <c r="L1248" s="829">
        <v>100</v>
      </c>
      <c r="M1248" s="824"/>
    </row>
    <row r="1249" spans="1:13" x14ac:dyDescent="0.2">
      <c r="A1249" s="813">
        <v>9</v>
      </c>
      <c r="B1249" s="825"/>
      <c r="C1249" s="841"/>
      <c r="D1249" s="826"/>
      <c r="E1249" s="813"/>
      <c r="F1249" s="813"/>
      <c r="G1249" s="768" t="s">
        <v>247</v>
      </c>
      <c r="H1249" s="769">
        <f>SUM(H1246:H1248)</f>
        <v>39.799999999999997</v>
      </c>
      <c r="I1249" s="307" t="s">
        <v>181</v>
      </c>
      <c r="J1249" s="823"/>
      <c r="K1249" s="161"/>
      <c r="L1249" s="45"/>
      <c r="M1249" s="824"/>
    </row>
    <row r="1250" spans="1:13" ht="15" customHeight="1" x14ac:dyDescent="0.2">
      <c r="A1250" s="813">
        <v>9</v>
      </c>
      <c r="B1250" s="825"/>
      <c r="C1250" s="841" t="s">
        <v>1836</v>
      </c>
      <c r="D1250" s="845" t="s">
        <v>1837</v>
      </c>
      <c r="E1250" s="813">
        <v>10</v>
      </c>
      <c r="F1250" s="813" t="s">
        <v>1838</v>
      </c>
      <c r="G1250" s="828" t="s">
        <v>19</v>
      </c>
      <c r="H1250" s="219">
        <v>3</v>
      </c>
      <c r="I1250" s="307" t="s">
        <v>49</v>
      </c>
      <c r="J1250" s="823" t="s">
        <v>1839</v>
      </c>
      <c r="K1250" s="823" t="s">
        <v>1805</v>
      </c>
      <c r="L1250" s="829">
        <v>100</v>
      </c>
      <c r="M1250" s="824"/>
    </row>
    <row r="1251" spans="1:13" ht="12.75" customHeight="1" x14ac:dyDescent="0.2">
      <c r="A1251" s="813">
        <v>9</v>
      </c>
      <c r="B1251" s="825"/>
      <c r="C1251" s="841"/>
      <c r="D1251" s="826"/>
      <c r="E1251" s="813"/>
      <c r="F1251" s="813"/>
      <c r="G1251" s="768" t="s">
        <v>247</v>
      </c>
      <c r="H1251" s="769">
        <f>SUM(H1250)</f>
        <v>3</v>
      </c>
      <c r="I1251" s="307"/>
      <c r="J1251" s="823"/>
      <c r="K1251" s="161"/>
      <c r="L1251" s="45"/>
      <c r="M1251" s="824"/>
    </row>
    <row r="1252" spans="1:13" ht="21" customHeight="1" x14ac:dyDescent="0.2">
      <c r="A1252" s="813">
        <v>9</v>
      </c>
      <c r="B1252" s="776"/>
      <c r="C1252" s="776"/>
      <c r="D1252" s="771" t="s">
        <v>1840</v>
      </c>
      <c r="E1252" s="723"/>
      <c r="F1252" s="316"/>
      <c r="G1252" s="314"/>
      <c r="H1252" s="316"/>
      <c r="I1252" s="307"/>
      <c r="J1252" s="823"/>
      <c r="K1252" s="161"/>
      <c r="L1252" s="45"/>
      <c r="M1252" s="824"/>
    </row>
    <row r="1253" spans="1:13" ht="12.75" customHeight="1" x14ac:dyDescent="0.2">
      <c r="A1253" s="813">
        <v>9</v>
      </c>
      <c r="B1253" s="757" t="s">
        <v>1841</v>
      </c>
      <c r="C1253" s="757" t="s">
        <v>1841</v>
      </c>
      <c r="D1253" s="758" t="s">
        <v>1842</v>
      </c>
      <c r="E1253" s="827"/>
      <c r="F1253" s="822"/>
      <c r="G1253" s="207" t="s">
        <v>1772</v>
      </c>
      <c r="H1253" s="207">
        <f>SUM(H1264+H1266+H1270+H1272+H1275+H1281+H1283+H1287+H1288+H1290+H1292+H1295+H1296)</f>
        <v>1408.3</v>
      </c>
      <c r="I1253" s="307"/>
      <c r="J1253" s="823"/>
      <c r="K1253" s="161"/>
      <c r="L1253" s="45"/>
      <c r="M1253" s="824"/>
    </row>
    <row r="1254" spans="1:13" ht="12.75" customHeight="1" x14ac:dyDescent="0.2">
      <c r="A1254" s="813">
        <v>9</v>
      </c>
      <c r="B1254" s="825"/>
      <c r="C1254" s="813"/>
      <c r="D1254" s="826"/>
      <c r="E1254" s="827"/>
      <c r="F1254" s="822"/>
      <c r="G1254" s="207" t="s">
        <v>1843</v>
      </c>
      <c r="H1254" s="207">
        <f>H1267+H1277</f>
        <v>84.1</v>
      </c>
      <c r="I1254" s="307"/>
      <c r="J1254" s="823"/>
      <c r="K1254" s="161"/>
      <c r="L1254" s="45"/>
      <c r="M1254" s="824"/>
    </row>
    <row r="1255" spans="1:13" ht="12.75" customHeight="1" x14ac:dyDescent="0.2">
      <c r="A1255" s="813">
        <v>9</v>
      </c>
      <c r="B1255" s="825"/>
      <c r="C1255" s="813"/>
      <c r="D1255" s="826"/>
      <c r="E1255" s="827"/>
      <c r="F1255" s="822"/>
      <c r="G1255" s="207" t="s">
        <v>1844</v>
      </c>
      <c r="H1255" s="207">
        <f>H1268</f>
        <v>5</v>
      </c>
      <c r="I1255" s="307"/>
      <c r="J1255" s="823"/>
      <c r="K1255" s="161"/>
      <c r="L1255" s="45"/>
      <c r="M1255" s="824"/>
    </row>
    <row r="1256" spans="1:13" ht="12.75" customHeight="1" x14ac:dyDescent="0.2">
      <c r="A1256" s="813">
        <v>9</v>
      </c>
      <c r="B1256" s="825"/>
      <c r="C1256" s="813"/>
      <c r="D1256" s="826"/>
      <c r="E1256" s="827"/>
      <c r="F1256" s="822"/>
      <c r="G1256" s="207" t="s">
        <v>1845</v>
      </c>
      <c r="H1256" s="207">
        <f t="shared" ref="H1256:H1257" si="16">H1284</f>
        <v>93</v>
      </c>
      <c r="I1256" s="307"/>
      <c r="J1256" s="823"/>
      <c r="K1256" s="161"/>
      <c r="L1256" s="45"/>
      <c r="M1256" s="824"/>
    </row>
    <row r="1257" spans="1:13" ht="12.75" customHeight="1" x14ac:dyDescent="0.2">
      <c r="A1257" s="813">
        <v>9</v>
      </c>
      <c r="B1257" s="825"/>
      <c r="C1257" s="813"/>
      <c r="D1257" s="826"/>
      <c r="E1257" s="827"/>
      <c r="F1257" s="822"/>
      <c r="G1257" s="207" t="s">
        <v>1846</v>
      </c>
      <c r="H1257" s="207">
        <f t="shared" si="16"/>
        <v>0</v>
      </c>
      <c r="I1257" s="307"/>
      <c r="J1257" s="823"/>
      <c r="K1257" s="161"/>
      <c r="L1257" s="45"/>
      <c r="M1257" s="824"/>
    </row>
    <row r="1258" spans="1:13" ht="12.75" customHeight="1" x14ac:dyDescent="0.2">
      <c r="A1258" s="813">
        <v>9</v>
      </c>
      <c r="B1258" s="825"/>
      <c r="C1258" s="813"/>
      <c r="D1258" s="826"/>
      <c r="E1258" s="827"/>
      <c r="F1258" s="822"/>
      <c r="G1258" s="207" t="s">
        <v>1847</v>
      </c>
      <c r="H1258" s="207">
        <f>H1293+H1279</f>
        <v>2019</v>
      </c>
      <c r="I1258" s="307"/>
      <c r="J1258" s="823"/>
      <c r="K1258" s="161"/>
      <c r="L1258" s="45"/>
      <c r="M1258" s="824"/>
    </row>
    <row r="1259" spans="1:13" ht="12.75" customHeight="1" x14ac:dyDescent="0.2">
      <c r="A1259" s="813">
        <v>9</v>
      </c>
      <c r="B1259" s="825"/>
      <c r="C1259" s="813"/>
      <c r="D1259" s="826"/>
      <c r="E1259" s="827"/>
      <c r="F1259" s="822"/>
      <c r="G1259" s="207" t="s">
        <v>1848</v>
      </c>
      <c r="H1259" s="207"/>
      <c r="I1259" s="307"/>
      <c r="J1259" s="823"/>
      <c r="K1259" s="161"/>
      <c r="L1259" s="45"/>
      <c r="M1259" s="824"/>
    </row>
    <row r="1260" spans="1:13" ht="12.75" customHeight="1" x14ac:dyDescent="0.2">
      <c r="A1260" s="813">
        <v>9</v>
      </c>
      <c r="B1260" s="825"/>
      <c r="C1260" s="813"/>
      <c r="D1260" s="826"/>
      <c r="E1260" s="827"/>
      <c r="F1260" s="822"/>
      <c r="G1260" s="207" t="s">
        <v>1849</v>
      </c>
      <c r="H1260" s="207">
        <f>H1276</f>
        <v>0</v>
      </c>
      <c r="I1260" s="307"/>
      <c r="J1260" s="823"/>
      <c r="K1260" s="161"/>
      <c r="L1260" s="45"/>
      <c r="M1260" s="824"/>
    </row>
    <row r="1261" spans="1:13" ht="12.75" customHeight="1" x14ac:dyDescent="0.2">
      <c r="A1261" s="813">
        <v>9</v>
      </c>
      <c r="B1261" s="825"/>
      <c r="C1261" s="813"/>
      <c r="D1261" s="826"/>
      <c r="E1261" s="827"/>
      <c r="F1261" s="822"/>
      <c r="G1261" s="207" t="s">
        <v>1850</v>
      </c>
      <c r="H1261" s="207">
        <f>H1278+H1273</f>
        <v>1215.9000000000001</v>
      </c>
      <c r="I1261" s="307"/>
      <c r="J1261" s="823"/>
      <c r="K1261" s="161"/>
      <c r="L1261" s="45"/>
      <c r="M1261" s="824"/>
    </row>
    <row r="1262" spans="1:13" ht="12.75" customHeight="1" x14ac:dyDescent="0.2">
      <c r="A1262" s="813">
        <v>9</v>
      </c>
      <c r="B1262" s="825"/>
      <c r="C1262" s="813"/>
      <c r="D1262" s="826"/>
      <c r="E1262" s="827"/>
      <c r="F1262" s="822"/>
      <c r="G1262" s="207" t="s">
        <v>2159</v>
      </c>
      <c r="H1262" s="207">
        <f>H1298</f>
        <v>100</v>
      </c>
      <c r="I1262" s="307"/>
      <c r="J1262" s="823"/>
      <c r="K1262" s="161"/>
      <c r="L1262" s="45"/>
      <c r="M1262" s="824"/>
    </row>
    <row r="1263" spans="1:13" ht="12.75" customHeight="1" x14ac:dyDescent="0.2">
      <c r="A1263" s="813">
        <v>9</v>
      </c>
      <c r="B1263" s="825"/>
      <c r="C1263" s="813"/>
      <c r="D1263" s="826"/>
      <c r="E1263" s="827"/>
      <c r="F1263" s="822"/>
      <c r="G1263" s="760" t="s">
        <v>247</v>
      </c>
      <c r="H1263" s="761">
        <f>SUM(H1253:H1262)</f>
        <v>4925.2999999999993</v>
      </c>
      <c r="I1263" s="307"/>
      <c r="J1263" s="823"/>
      <c r="K1263" s="161"/>
      <c r="L1263" s="45"/>
      <c r="M1263" s="824"/>
    </row>
    <row r="1264" spans="1:13" ht="33.75" x14ac:dyDescent="0.2">
      <c r="A1264" s="813">
        <v>9</v>
      </c>
      <c r="B1264" s="825"/>
      <c r="C1264" s="813" t="s">
        <v>1851</v>
      </c>
      <c r="D1264" s="826" t="s">
        <v>1852</v>
      </c>
      <c r="E1264" s="827">
        <v>10</v>
      </c>
      <c r="F1264" s="822" t="s">
        <v>1853</v>
      </c>
      <c r="G1264" s="828" t="s">
        <v>19</v>
      </c>
      <c r="H1264" s="219">
        <v>42</v>
      </c>
      <c r="I1264" s="307" t="s">
        <v>64</v>
      </c>
      <c r="J1264" s="944" t="s">
        <v>2037</v>
      </c>
      <c r="K1264" s="836" t="s">
        <v>1854</v>
      </c>
      <c r="L1264" s="837">
        <v>10</v>
      </c>
      <c r="M1264" s="824"/>
    </row>
    <row r="1265" spans="1:13" ht="12.75" customHeight="1" x14ac:dyDescent="0.2">
      <c r="A1265" s="813">
        <v>9</v>
      </c>
      <c r="B1265" s="825"/>
      <c r="C1265" s="813"/>
      <c r="D1265" s="826"/>
      <c r="E1265" s="827"/>
      <c r="F1265" s="822"/>
      <c r="G1265" s="768" t="s">
        <v>247</v>
      </c>
      <c r="H1265" s="769">
        <f>SUM(H1264)</f>
        <v>42</v>
      </c>
      <c r="I1265" s="307"/>
      <c r="J1265" s="823"/>
      <c r="K1265" s="161"/>
      <c r="L1265" s="45"/>
      <c r="M1265" s="824"/>
    </row>
    <row r="1266" spans="1:13" ht="22.5" x14ac:dyDescent="0.2">
      <c r="A1266" s="813">
        <v>9</v>
      </c>
      <c r="B1266" s="825"/>
      <c r="C1266" s="813" t="s">
        <v>1855</v>
      </c>
      <c r="D1266" s="826" t="s">
        <v>1856</v>
      </c>
      <c r="E1266" s="827">
        <v>38</v>
      </c>
      <c r="F1266" s="822" t="s">
        <v>1857</v>
      </c>
      <c r="G1266" s="828" t="s">
        <v>19</v>
      </c>
      <c r="H1266" s="219">
        <v>50</v>
      </c>
      <c r="I1266" s="307" t="s">
        <v>49</v>
      </c>
      <c r="J1266" s="823" t="s">
        <v>417</v>
      </c>
      <c r="K1266" s="823" t="s">
        <v>331</v>
      </c>
      <c r="L1266" s="829">
        <v>100</v>
      </c>
      <c r="M1266" s="824"/>
    </row>
    <row r="1267" spans="1:13" ht="12.75" customHeight="1" x14ac:dyDescent="0.2">
      <c r="A1267" s="813">
        <v>9</v>
      </c>
      <c r="B1267" s="825"/>
      <c r="C1267" s="813"/>
      <c r="D1267" s="826"/>
      <c r="E1267" s="827">
        <v>38</v>
      </c>
      <c r="F1267" s="822" t="s">
        <v>1857</v>
      </c>
      <c r="G1267" s="813" t="s">
        <v>424</v>
      </c>
      <c r="H1267" s="219"/>
      <c r="I1267" s="307"/>
      <c r="J1267" s="823"/>
      <c r="K1267" s="823"/>
      <c r="L1267" s="829"/>
      <c r="M1267" s="824"/>
    </row>
    <row r="1268" spans="1:13" ht="12.75" customHeight="1" x14ac:dyDescent="0.2">
      <c r="A1268" s="813">
        <v>9</v>
      </c>
      <c r="B1268" s="825"/>
      <c r="C1268" s="813"/>
      <c r="D1268" s="826"/>
      <c r="E1268" s="827">
        <v>38</v>
      </c>
      <c r="F1268" s="822" t="s">
        <v>1857</v>
      </c>
      <c r="G1268" s="828" t="s">
        <v>1858</v>
      </c>
      <c r="H1268" s="219">
        <v>5</v>
      </c>
      <c r="I1268" s="307"/>
      <c r="J1268" s="823"/>
      <c r="K1268" s="823"/>
      <c r="L1268" s="829"/>
      <c r="M1268" s="824"/>
    </row>
    <row r="1269" spans="1:13" ht="12.75" customHeight="1" x14ac:dyDescent="0.2">
      <c r="A1269" s="813">
        <v>9</v>
      </c>
      <c r="B1269" s="825"/>
      <c r="C1269" s="813"/>
      <c r="D1269" s="826"/>
      <c r="E1269" s="827"/>
      <c r="F1269" s="822"/>
      <c r="G1269" s="768" t="s">
        <v>247</v>
      </c>
      <c r="H1269" s="769">
        <f>SUM(H1266:H1268)</f>
        <v>55</v>
      </c>
      <c r="I1269" s="307"/>
      <c r="J1269" s="823"/>
      <c r="K1269" s="823"/>
      <c r="L1269" s="829"/>
      <c r="M1269" s="824"/>
    </row>
    <row r="1270" spans="1:13" ht="21" customHeight="1" x14ac:dyDescent="0.2">
      <c r="A1270" s="813">
        <v>9</v>
      </c>
      <c r="B1270" s="825"/>
      <c r="C1270" s="813" t="s">
        <v>1859</v>
      </c>
      <c r="D1270" s="826" t="s">
        <v>1860</v>
      </c>
      <c r="E1270" s="777">
        <v>36</v>
      </c>
      <c r="F1270" s="822" t="s">
        <v>1861</v>
      </c>
      <c r="G1270" s="828" t="s">
        <v>19</v>
      </c>
      <c r="H1270" s="219">
        <v>16</v>
      </c>
      <c r="I1270" s="307" t="s">
        <v>49</v>
      </c>
      <c r="J1270" s="823" t="s">
        <v>1819</v>
      </c>
      <c r="K1270" s="823" t="s">
        <v>1862</v>
      </c>
      <c r="L1270" s="829">
        <v>15</v>
      </c>
      <c r="M1270" s="824"/>
    </row>
    <row r="1271" spans="1:13" ht="12.75" customHeight="1" x14ac:dyDescent="0.2">
      <c r="A1271" s="813">
        <v>9</v>
      </c>
      <c r="B1271" s="825"/>
      <c r="C1271" s="813"/>
      <c r="D1271" s="826"/>
      <c r="E1271" s="777"/>
      <c r="F1271" s="822"/>
      <c r="G1271" s="768" t="s">
        <v>247</v>
      </c>
      <c r="H1271" s="769">
        <f>SUM(H1270)</f>
        <v>16</v>
      </c>
      <c r="I1271" s="307"/>
      <c r="J1271" s="823"/>
      <c r="K1271" s="161"/>
      <c r="L1271" s="45"/>
      <c r="M1271" s="824"/>
    </row>
    <row r="1272" spans="1:13" ht="22.5" x14ac:dyDescent="0.2">
      <c r="A1272" s="813">
        <v>9</v>
      </c>
      <c r="B1272" s="825"/>
      <c r="C1272" s="813" t="s">
        <v>1863</v>
      </c>
      <c r="D1272" s="826" t="s">
        <v>1864</v>
      </c>
      <c r="E1272" s="777">
        <v>36</v>
      </c>
      <c r="F1272" s="822" t="s">
        <v>1865</v>
      </c>
      <c r="G1272" s="828" t="s">
        <v>19</v>
      </c>
      <c r="H1272" s="219">
        <f>798-200-250</f>
        <v>348</v>
      </c>
      <c r="I1272" s="307" t="s">
        <v>64</v>
      </c>
      <c r="J1272" s="944" t="s">
        <v>1819</v>
      </c>
      <c r="K1272" s="823" t="s">
        <v>1866</v>
      </c>
      <c r="L1272" s="829">
        <v>4</v>
      </c>
      <c r="M1272" s="824"/>
    </row>
    <row r="1273" spans="1:13" x14ac:dyDescent="0.2">
      <c r="A1273" s="813">
        <v>9</v>
      </c>
      <c r="B1273" s="825"/>
      <c r="C1273" s="813"/>
      <c r="D1273" s="826"/>
      <c r="E1273" s="777">
        <v>36</v>
      </c>
      <c r="F1273" s="822" t="s">
        <v>1865</v>
      </c>
      <c r="G1273" s="960" t="s">
        <v>177</v>
      </c>
      <c r="H1273" s="219">
        <v>500</v>
      </c>
      <c r="I1273" s="307"/>
      <c r="J1273" s="944"/>
      <c r="K1273" s="823"/>
      <c r="L1273" s="829"/>
      <c r="M1273" s="824"/>
    </row>
    <row r="1274" spans="1:13" ht="12.75" customHeight="1" x14ac:dyDescent="0.2">
      <c r="A1274" s="813">
        <v>9</v>
      </c>
      <c r="B1274" s="825"/>
      <c r="C1274" s="813"/>
      <c r="D1274" s="826"/>
      <c r="E1274" s="777"/>
      <c r="F1274" s="822"/>
      <c r="G1274" s="768" t="s">
        <v>247</v>
      </c>
      <c r="H1274" s="769">
        <f>SUM(H1272:H1273)</f>
        <v>848</v>
      </c>
      <c r="I1274" s="307"/>
      <c r="J1274" s="823"/>
      <c r="K1274" s="161"/>
      <c r="L1274" s="45"/>
      <c r="M1274" s="824"/>
    </row>
    <row r="1275" spans="1:13" ht="22.5" x14ac:dyDescent="0.2">
      <c r="A1275" s="813">
        <v>9</v>
      </c>
      <c r="B1275" s="825"/>
      <c r="C1275" s="813" t="s">
        <v>1867</v>
      </c>
      <c r="D1275" s="209" t="s">
        <v>1868</v>
      </c>
      <c r="E1275" s="732">
        <v>9</v>
      </c>
      <c r="F1275" s="822" t="s">
        <v>1869</v>
      </c>
      <c r="G1275" s="828" t="s">
        <v>19</v>
      </c>
      <c r="H1275" s="219">
        <f>1174-600+35</f>
        <v>609</v>
      </c>
      <c r="I1275" s="307" t="s">
        <v>181</v>
      </c>
      <c r="J1275" s="944" t="s">
        <v>2036</v>
      </c>
      <c r="K1275" s="823" t="s">
        <v>360</v>
      </c>
      <c r="L1275" s="829">
        <v>100</v>
      </c>
      <c r="M1275" s="824" t="s">
        <v>67</v>
      </c>
    </row>
    <row r="1276" spans="1:13" ht="27" customHeight="1" x14ac:dyDescent="0.2">
      <c r="A1276" s="813">
        <v>9</v>
      </c>
      <c r="B1276" s="825"/>
      <c r="C1276" s="813"/>
      <c r="D1276" s="209"/>
      <c r="E1276" s="732">
        <v>9</v>
      </c>
      <c r="F1276" s="822" t="s">
        <v>1869</v>
      </c>
      <c r="G1276" s="828" t="s">
        <v>75</v>
      </c>
      <c r="H1276" s="294"/>
      <c r="I1276" s="307"/>
      <c r="J1276" s="978" t="s">
        <v>2152</v>
      </c>
      <c r="K1276" s="161" t="s">
        <v>2153</v>
      </c>
      <c r="L1276" s="45">
        <v>100</v>
      </c>
      <c r="M1276" s="824"/>
    </row>
    <row r="1277" spans="1:13" ht="12.75" customHeight="1" x14ac:dyDescent="0.2">
      <c r="A1277" s="813">
        <v>9</v>
      </c>
      <c r="B1277" s="825"/>
      <c r="C1277" s="813"/>
      <c r="D1277" s="209"/>
      <c r="E1277" s="732">
        <v>9</v>
      </c>
      <c r="F1277" s="822" t="s">
        <v>1869</v>
      </c>
      <c r="G1277" s="813" t="s">
        <v>424</v>
      </c>
      <c r="H1277" s="294">
        <f>200-115.9</f>
        <v>84.1</v>
      </c>
      <c r="I1277" s="307" t="s">
        <v>181</v>
      </c>
      <c r="J1277" s="823"/>
      <c r="K1277" s="161"/>
      <c r="L1277" s="45"/>
      <c r="M1277" s="824" t="s">
        <v>67</v>
      </c>
    </row>
    <row r="1278" spans="1:13" ht="12.75" customHeight="1" x14ac:dyDescent="0.2">
      <c r="A1278" s="813">
        <v>9</v>
      </c>
      <c r="B1278" s="825"/>
      <c r="C1278" s="813"/>
      <c r="D1278" s="209"/>
      <c r="E1278" s="732">
        <v>9</v>
      </c>
      <c r="F1278" s="822" t="s">
        <v>1869</v>
      </c>
      <c r="G1278" s="813" t="s">
        <v>177</v>
      </c>
      <c r="H1278" s="294">
        <f>600+115.9</f>
        <v>715.9</v>
      </c>
      <c r="I1278" s="307" t="s">
        <v>181</v>
      </c>
      <c r="J1278" s="823"/>
      <c r="K1278" s="161"/>
      <c r="L1278" s="45"/>
      <c r="M1278" s="824" t="s">
        <v>67</v>
      </c>
    </row>
    <row r="1279" spans="1:13" ht="12.75" customHeight="1" x14ac:dyDescent="0.2">
      <c r="A1279" s="813">
        <v>9</v>
      </c>
      <c r="B1279" s="825"/>
      <c r="C1279" s="813"/>
      <c r="D1279" s="209"/>
      <c r="E1279" s="732">
        <v>9</v>
      </c>
      <c r="F1279" s="822" t="s">
        <v>1869</v>
      </c>
      <c r="G1279" s="828" t="s">
        <v>56</v>
      </c>
      <c r="H1279" s="294">
        <f>1777.9+195.3</f>
        <v>1973.2</v>
      </c>
      <c r="I1279" s="307"/>
      <c r="J1279" s="823"/>
      <c r="K1279" s="161"/>
      <c r="L1279" s="45"/>
      <c r="M1279" s="824" t="s">
        <v>67</v>
      </c>
    </row>
    <row r="1280" spans="1:13" ht="12.75" customHeight="1" x14ac:dyDescent="0.2">
      <c r="A1280" s="813">
        <v>9</v>
      </c>
      <c r="B1280" s="825"/>
      <c r="C1280" s="813"/>
      <c r="D1280" s="209"/>
      <c r="E1280" s="732"/>
      <c r="F1280" s="822"/>
      <c r="G1280" s="768" t="s">
        <v>247</v>
      </c>
      <c r="H1280" s="769">
        <f>SUM(H1275:H1279)</f>
        <v>3382.2</v>
      </c>
      <c r="I1280" s="307" t="s">
        <v>181</v>
      </c>
      <c r="J1280" s="823"/>
      <c r="K1280" s="161"/>
      <c r="L1280" s="45"/>
      <c r="M1280" s="824"/>
    </row>
    <row r="1281" spans="1:13" ht="53.45" customHeight="1" x14ac:dyDescent="0.2">
      <c r="A1281" s="813">
        <v>9</v>
      </c>
      <c r="B1281" s="825"/>
      <c r="C1281" s="813" t="s">
        <v>1870</v>
      </c>
      <c r="D1281" s="370" t="s">
        <v>1871</v>
      </c>
      <c r="E1281" s="311">
        <v>9</v>
      </c>
      <c r="F1281" s="813" t="s">
        <v>1872</v>
      </c>
      <c r="G1281" s="828" t="s">
        <v>19</v>
      </c>
      <c r="H1281" s="219">
        <v>50</v>
      </c>
      <c r="I1281" s="307" t="s">
        <v>49</v>
      </c>
      <c r="J1281" s="823" t="s">
        <v>1873</v>
      </c>
      <c r="K1281" s="823" t="s">
        <v>1874</v>
      </c>
      <c r="L1281" s="829">
        <v>100</v>
      </c>
      <c r="M1281" s="824"/>
    </row>
    <row r="1282" spans="1:13" ht="12.75" customHeight="1" x14ac:dyDescent="0.2">
      <c r="A1282" s="813">
        <v>9</v>
      </c>
      <c r="B1282" s="825"/>
      <c r="C1282" s="813"/>
      <c r="D1282" s="370"/>
      <c r="E1282" s="732"/>
      <c r="F1282" s="822"/>
      <c r="G1282" s="768" t="s">
        <v>247</v>
      </c>
      <c r="H1282" s="769">
        <f>SUM(H1281)</f>
        <v>50</v>
      </c>
      <c r="I1282" s="307"/>
      <c r="J1282" s="823"/>
      <c r="K1282" s="161"/>
      <c r="L1282" s="45"/>
      <c r="M1282" s="824"/>
    </row>
    <row r="1283" spans="1:13" ht="36" customHeight="1" x14ac:dyDescent="0.2">
      <c r="A1283" s="813">
        <v>9</v>
      </c>
      <c r="B1283" s="825"/>
      <c r="C1283" s="813" t="s">
        <v>1875</v>
      </c>
      <c r="D1283" s="766" t="s">
        <v>1876</v>
      </c>
      <c r="E1283" s="763">
        <v>36</v>
      </c>
      <c r="F1283" s="822" t="s">
        <v>1877</v>
      </c>
      <c r="G1283" s="828" t="s">
        <v>19</v>
      </c>
      <c r="H1283" s="219">
        <v>100</v>
      </c>
      <c r="I1283" s="307" t="s">
        <v>64</v>
      </c>
      <c r="J1283" s="823" t="s">
        <v>1878</v>
      </c>
      <c r="K1283" s="823" t="s">
        <v>1879</v>
      </c>
      <c r="L1283" s="829">
        <v>15</v>
      </c>
      <c r="M1283" s="824"/>
    </row>
    <row r="1284" spans="1:13" ht="12.75" customHeight="1" x14ac:dyDescent="0.2">
      <c r="A1284" s="813">
        <v>9</v>
      </c>
      <c r="B1284" s="825"/>
      <c r="C1284" s="813"/>
      <c r="D1284" s="766"/>
      <c r="E1284" s="763">
        <v>36</v>
      </c>
      <c r="F1284" s="822" t="s">
        <v>1877</v>
      </c>
      <c r="G1284" s="813" t="s">
        <v>22</v>
      </c>
      <c r="H1284" s="219">
        <v>93</v>
      </c>
      <c r="I1284" s="307"/>
      <c r="J1284" s="823" t="s">
        <v>1878</v>
      </c>
      <c r="K1284" s="161"/>
      <c r="L1284" s="45"/>
      <c r="M1284" s="824"/>
    </row>
    <row r="1285" spans="1:13" ht="12.75" customHeight="1" x14ac:dyDescent="0.2">
      <c r="A1285" s="813">
        <v>9</v>
      </c>
      <c r="B1285" s="825"/>
      <c r="C1285" s="813"/>
      <c r="D1285" s="766"/>
      <c r="E1285" s="763">
        <v>36</v>
      </c>
      <c r="F1285" s="822" t="s">
        <v>1877</v>
      </c>
      <c r="G1285" s="813" t="s">
        <v>589</v>
      </c>
      <c r="H1285" s="219"/>
      <c r="I1285" s="307"/>
      <c r="J1285" s="823" t="s">
        <v>1878</v>
      </c>
      <c r="K1285" s="161"/>
      <c r="L1285" s="45"/>
      <c r="M1285" s="824"/>
    </row>
    <row r="1286" spans="1:13" ht="12.75" customHeight="1" x14ac:dyDescent="0.2">
      <c r="A1286" s="813">
        <v>9</v>
      </c>
      <c r="B1286" s="825"/>
      <c r="C1286" s="813"/>
      <c r="D1286" s="766"/>
      <c r="E1286" s="763"/>
      <c r="F1286" s="822"/>
      <c r="G1286" s="768" t="s">
        <v>247</v>
      </c>
      <c r="H1286" s="769">
        <f>SUM(H1283:H1285)</f>
        <v>193</v>
      </c>
      <c r="I1286" s="307"/>
      <c r="J1286" s="823"/>
      <c r="K1286" s="161"/>
      <c r="L1286" s="45"/>
      <c r="M1286" s="824"/>
    </row>
    <row r="1287" spans="1:13" ht="12.75" customHeight="1" x14ac:dyDescent="0.25">
      <c r="A1287" s="813">
        <v>9</v>
      </c>
      <c r="B1287" s="825"/>
      <c r="C1287" s="813" t="s">
        <v>1880</v>
      </c>
      <c r="D1287" s="225" t="s">
        <v>1881</v>
      </c>
      <c r="E1287" s="763" t="s">
        <v>1882</v>
      </c>
      <c r="F1287" s="822" t="s">
        <v>1883</v>
      </c>
      <c r="G1287" s="828" t="s">
        <v>19</v>
      </c>
      <c r="H1287" s="219">
        <v>75.3</v>
      </c>
      <c r="I1287" s="307" t="s">
        <v>49</v>
      </c>
      <c r="J1287" s="149"/>
      <c r="K1287" s="161"/>
      <c r="L1287" s="45"/>
      <c r="M1287" s="846"/>
    </row>
    <row r="1288" spans="1:13" ht="23.45" customHeight="1" x14ac:dyDescent="0.2">
      <c r="A1288" s="813">
        <v>9</v>
      </c>
      <c r="B1288" s="825"/>
      <c r="C1288" s="813"/>
      <c r="D1288" s="225"/>
      <c r="E1288" s="214">
        <v>18</v>
      </c>
      <c r="F1288" s="813" t="s">
        <v>1883</v>
      </c>
      <c r="G1288" s="828" t="s">
        <v>19</v>
      </c>
      <c r="H1288" s="219">
        <v>50</v>
      </c>
      <c r="I1288" s="307" t="s">
        <v>64</v>
      </c>
      <c r="J1288" s="944" t="s">
        <v>2033</v>
      </c>
      <c r="K1288" s="161" t="s">
        <v>1884</v>
      </c>
      <c r="L1288" s="45">
        <v>1</v>
      </c>
      <c r="M1288" s="824"/>
    </row>
    <row r="1289" spans="1:13" ht="12.75" customHeight="1" x14ac:dyDescent="0.2">
      <c r="A1289" s="813">
        <v>9</v>
      </c>
      <c r="B1289" s="825"/>
      <c r="C1289" s="813"/>
      <c r="D1289" s="225"/>
      <c r="E1289" s="763"/>
      <c r="F1289" s="822"/>
      <c r="G1289" s="768" t="s">
        <v>247</v>
      </c>
      <c r="H1289" s="769">
        <f>SUM(H1287+H1288)</f>
        <v>125.3</v>
      </c>
      <c r="I1289" s="307"/>
      <c r="J1289" s="823"/>
      <c r="K1289" s="161"/>
      <c r="L1289" s="45"/>
      <c r="M1289" s="824"/>
    </row>
    <row r="1290" spans="1:13" ht="21" customHeight="1" x14ac:dyDescent="0.2">
      <c r="A1290" s="813">
        <v>9</v>
      </c>
      <c r="B1290" s="825"/>
      <c r="C1290" s="813" t="s">
        <v>1885</v>
      </c>
      <c r="D1290" s="778" t="s">
        <v>1886</v>
      </c>
      <c r="E1290" s="763">
        <v>18</v>
      </c>
      <c r="F1290" s="822" t="s">
        <v>1887</v>
      </c>
      <c r="G1290" s="828" t="s">
        <v>19</v>
      </c>
      <c r="H1290" s="219">
        <v>20</v>
      </c>
      <c r="I1290" s="307" t="s">
        <v>49</v>
      </c>
      <c r="J1290" s="944" t="s">
        <v>2034</v>
      </c>
      <c r="K1290" s="823" t="s">
        <v>1874</v>
      </c>
      <c r="L1290" s="829">
        <v>100</v>
      </c>
      <c r="M1290" s="824"/>
    </row>
    <row r="1291" spans="1:13" ht="12.75" customHeight="1" x14ac:dyDescent="0.2">
      <c r="A1291" s="813">
        <v>9</v>
      </c>
      <c r="B1291" s="825"/>
      <c r="C1291" s="813"/>
      <c r="D1291" s="778"/>
      <c r="E1291" s="763"/>
      <c r="F1291" s="822"/>
      <c r="G1291" s="768" t="s">
        <v>247</v>
      </c>
      <c r="H1291" s="769">
        <f>SUM(H1290)</f>
        <v>20</v>
      </c>
      <c r="I1291" s="307"/>
      <c r="J1291" s="823"/>
      <c r="K1291" s="161"/>
      <c r="L1291" s="45"/>
      <c r="M1291" s="824"/>
    </row>
    <row r="1292" spans="1:13" ht="25.15" customHeight="1" x14ac:dyDescent="0.2">
      <c r="A1292" s="813">
        <v>9</v>
      </c>
      <c r="B1292" s="825"/>
      <c r="C1292" s="813" t="s">
        <v>1888</v>
      </c>
      <c r="D1292" s="209" t="s">
        <v>1889</v>
      </c>
      <c r="E1292" s="763">
        <v>9</v>
      </c>
      <c r="F1292" s="822" t="s">
        <v>1890</v>
      </c>
      <c r="G1292" s="828" t="s">
        <v>19</v>
      </c>
      <c r="H1292" s="219">
        <v>33</v>
      </c>
      <c r="I1292" s="307" t="s">
        <v>58</v>
      </c>
      <c r="J1292" s="823"/>
      <c r="K1292" s="161"/>
      <c r="L1292" s="45"/>
      <c r="M1292" s="824"/>
    </row>
    <row r="1293" spans="1:13" ht="36.75" customHeight="1" x14ac:dyDescent="0.2">
      <c r="A1293" s="813">
        <v>9</v>
      </c>
      <c r="B1293" s="825"/>
      <c r="C1293" s="813"/>
      <c r="D1293" s="209"/>
      <c r="E1293" s="763">
        <v>9</v>
      </c>
      <c r="F1293" s="822" t="s">
        <v>1890</v>
      </c>
      <c r="G1293" s="813" t="s">
        <v>56</v>
      </c>
      <c r="H1293" s="219">
        <f>195.8-150</f>
        <v>45.800000000000011</v>
      </c>
      <c r="I1293" s="307"/>
      <c r="J1293" s="944" t="s">
        <v>2035</v>
      </c>
      <c r="K1293" s="161" t="s">
        <v>1891</v>
      </c>
      <c r="L1293" s="45">
        <v>2</v>
      </c>
      <c r="M1293" s="150"/>
    </row>
    <row r="1294" spans="1:13" ht="12.75" customHeight="1" x14ac:dyDescent="0.2">
      <c r="A1294" s="813">
        <v>9</v>
      </c>
      <c r="B1294" s="825"/>
      <c r="C1294" s="813"/>
      <c r="D1294" s="209"/>
      <c r="E1294" s="763"/>
      <c r="F1294" s="822"/>
      <c r="G1294" s="768" t="s">
        <v>247</v>
      </c>
      <c r="H1294" s="769">
        <f>SUM(H1292:H1293)</f>
        <v>78.800000000000011</v>
      </c>
      <c r="I1294" s="307"/>
      <c r="J1294" s="823"/>
      <c r="K1294" s="161"/>
      <c r="L1294" s="45"/>
      <c r="M1294" s="824"/>
    </row>
    <row r="1295" spans="1:13" ht="31.5" customHeight="1" x14ac:dyDescent="0.2">
      <c r="A1295" s="813">
        <v>9</v>
      </c>
      <c r="B1295" s="825"/>
      <c r="C1295" s="813" t="s">
        <v>1892</v>
      </c>
      <c r="D1295" s="778" t="s">
        <v>1893</v>
      </c>
      <c r="E1295" s="214">
        <v>9</v>
      </c>
      <c r="F1295" s="813" t="s">
        <v>1894</v>
      </c>
      <c r="G1295" s="828" t="s">
        <v>19</v>
      </c>
      <c r="H1295" s="573">
        <v>0</v>
      </c>
      <c r="I1295" s="307" t="s">
        <v>64</v>
      </c>
      <c r="J1295" s="823" t="s">
        <v>65</v>
      </c>
      <c r="K1295" s="161" t="s">
        <v>1895</v>
      </c>
      <c r="L1295" s="45">
        <v>20</v>
      </c>
      <c r="M1295" s="824" t="s">
        <v>361</v>
      </c>
    </row>
    <row r="1296" spans="1:13" ht="18.75" customHeight="1" x14ac:dyDescent="0.2">
      <c r="A1296" s="813">
        <v>9</v>
      </c>
      <c r="B1296" s="847"/>
      <c r="C1296" s="848"/>
      <c r="D1296" s="779"/>
      <c r="E1296" s="780">
        <v>21</v>
      </c>
      <c r="F1296" s="848" t="s">
        <v>1896</v>
      </c>
      <c r="G1296" s="813" t="s">
        <v>19</v>
      </c>
      <c r="H1296" s="219">
        <f>70-55</f>
        <v>15</v>
      </c>
      <c r="I1296" s="307"/>
      <c r="J1296" s="823" t="s">
        <v>278</v>
      </c>
      <c r="K1296" s="161" t="s">
        <v>197</v>
      </c>
      <c r="L1296" s="45">
        <v>1</v>
      </c>
      <c r="M1296" s="838" t="s">
        <v>187</v>
      </c>
    </row>
    <row r="1297" spans="1:16" ht="12.75" customHeight="1" x14ac:dyDescent="0.2">
      <c r="A1297" s="813">
        <v>9</v>
      </c>
      <c r="B1297" s="825"/>
      <c r="C1297" s="813"/>
      <c r="D1297" s="778"/>
      <c r="E1297" s="763"/>
      <c r="F1297" s="822"/>
      <c r="G1297" s="768" t="s">
        <v>247</v>
      </c>
      <c r="H1297" s="769">
        <f>SUM(H1295:H1296)</f>
        <v>15</v>
      </c>
      <c r="I1297" s="307"/>
      <c r="J1297" s="823"/>
      <c r="K1297" s="161"/>
      <c r="L1297" s="45"/>
      <c r="M1297" s="838"/>
    </row>
    <row r="1298" spans="1:16" ht="25.15" customHeight="1" x14ac:dyDescent="0.2">
      <c r="A1298" s="813">
        <v>9</v>
      </c>
      <c r="B1298" s="825"/>
      <c r="C1298" s="980" t="s">
        <v>2155</v>
      </c>
      <c r="D1298" s="779" t="s">
        <v>2156</v>
      </c>
      <c r="E1298" s="491">
        <v>9</v>
      </c>
      <c r="F1298" s="981" t="s">
        <v>2157</v>
      </c>
      <c r="G1298" s="214" t="s">
        <v>2154</v>
      </c>
      <c r="H1298" s="573">
        <v>100</v>
      </c>
      <c r="I1298" s="307"/>
      <c r="J1298" s="414" t="s">
        <v>2027</v>
      </c>
      <c r="K1298" s="598" t="s">
        <v>2158</v>
      </c>
      <c r="L1298" s="202">
        <v>1</v>
      </c>
      <c r="M1298" s="984" t="s">
        <v>187</v>
      </c>
    </row>
    <row r="1299" spans="1:16" ht="12.75" customHeight="1" x14ac:dyDescent="0.2">
      <c r="A1299" s="813">
        <v>9</v>
      </c>
      <c r="B1299" s="825"/>
      <c r="C1299" s="813"/>
      <c r="D1299" s="779"/>
      <c r="E1299" s="491">
        <v>9</v>
      </c>
      <c r="F1299" s="981" t="s">
        <v>2157</v>
      </c>
      <c r="G1299" s="980" t="s">
        <v>19</v>
      </c>
      <c r="H1299" s="219"/>
      <c r="I1299" s="307"/>
      <c r="J1299" s="823"/>
      <c r="K1299" s="161"/>
      <c r="L1299" s="45"/>
      <c r="M1299" s="824"/>
    </row>
    <row r="1300" spans="1:16" ht="12.75" customHeight="1" x14ac:dyDescent="0.2">
      <c r="A1300" s="813">
        <v>9</v>
      </c>
      <c r="B1300" s="825"/>
      <c r="C1300" s="813"/>
      <c r="D1300" s="779"/>
      <c r="E1300" s="491"/>
      <c r="F1300" s="982"/>
      <c r="G1300" s="983" t="s">
        <v>247</v>
      </c>
      <c r="H1300" s="769">
        <f>SUM(H1298:H1299)</f>
        <v>100</v>
      </c>
      <c r="I1300" s="307"/>
      <c r="J1300" s="823"/>
      <c r="K1300" s="161"/>
      <c r="L1300" s="45"/>
      <c r="M1300" s="824"/>
    </row>
    <row r="1301" spans="1:16" ht="12.75" hidden="1" customHeight="1" x14ac:dyDescent="0.2">
      <c r="A1301" s="813">
        <v>9</v>
      </c>
      <c r="B1301" s="307"/>
      <c r="C1301" s="307"/>
      <c r="D1301" s="433"/>
      <c r="E1301" s="307"/>
      <c r="F1301" s="307"/>
      <c r="G1301" s="299" t="s">
        <v>247</v>
      </c>
      <c r="H1301" s="299">
        <f>SUM(H1047+H1055+H1103+H1213+H1225+H1263)</f>
        <v>24916.100000000002</v>
      </c>
      <c r="I1301" s="382"/>
      <c r="J1301" s="173"/>
      <c r="K1301" s="161"/>
      <c r="L1301" s="45"/>
      <c r="M1301" s="143"/>
      <c r="P1301" s="937"/>
    </row>
    <row r="1302" spans="1:16" ht="12.75" hidden="1" customHeight="1" x14ac:dyDescent="0.2">
      <c r="A1302" s="813">
        <v>9</v>
      </c>
      <c r="B1302" s="307"/>
      <c r="C1302" s="307"/>
      <c r="D1302" s="433"/>
      <c r="E1302" s="307"/>
      <c r="F1302" s="307"/>
      <c r="G1302" s="214" t="s">
        <v>19</v>
      </c>
      <c r="H1302" s="211">
        <f>SUM(H1045+H1053+H1089+H1212+H1220+H1253)</f>
        <v>18970.900000000001</v>
      </c>
      <c r="I1302" s="211"/>
      <c r="J1302" s="68"/>
      <c r="K1302" s="161"/>
      <c r="L1302" s="45"/>
      <c r="M1302" s="143"/>
    </row>
    <row r="1303" spans="1:16" ht="12.75" hidden="1" customHeight="1" x14ac:dyDescent="0.2">
      <c r="A1303" s="813">
        <v>9</v>
      </c>
      <c r="B1303" s="307"/>
      <c r="C1303" s="307"/>
      <c r="D1303" s="433"/>
      <c r="E1303" s="307"/>
      <c r="F1303" s="307"/>
      <c r="G1303" s="210" t="s">
        <v>21</v>
      </c>
      <c r="H1303" s="211">
        <f>SUM(H1046+H1092+H1223+H1259)</f>
        <v>195.60000000000002</v>
      </c>
      <c r="I1303" s="211"/>
      <c r="J1303" s="68"/>
      <c r="K1303" s="161"/>
      <c r="L1303" s="45"/>
      <c r="M1303" s="143"/>
    </row>
    <row r="1304" spans="1:16" ht="12.75" hidden="1" customHeight="1" x14ac:dyDescent="0.2">
      <c r="A1304" s="813">
        <v>9</v>
      </c>
      <c r="B1304" s="307"/>
      <c r="C1304" s="307"/>
      <c r="D1304" s="433"/>
      <c r="E1304" s="307"/>
      <c r="F1304" s="307"/>
      <c r="G1304" s="214" t="s">
        <v>268</v>
      </c>
      <c r="H1304" s="211">
        <f>SUM(H1093)</f>
        <v>700.00000000000023</v>
      </c>
      <c r="I1304" s="211"/>
      <c r="J1304" s="68"/>
      <c r="K1304" s="161"/>
      <c r="L1304" s="45"/>
      <c r="M1304" s="143"/>
      <c r="P1304" s="937"/>
    </row>
    <row r="1305" spans="1:16" ht="12.75" hidden="1" customHeight="1" x14ac:dyDescent="0.2">
      <c r="A1305" s="813">
        <v>9</v>
      </c>
      <c r="B1305" s="307"/>
      <c r="C1305" s="307"/>
      <c r="D1305" s="433"/>
      <c r="E1305" s="307"/>
      <c r="F1305" s="307"/>
      <c r="G1305" s="210" t="s">
        <v>177</v>
      </c>
      <c r="H1305" s="211">
        <f>H1278+H1273+H1217</f>
        <v>2115.9</v>
      </c>
      <c r="I1305" s="211"/>
      <c r="J1305" s="68"/>
      <c r="K1305" s="161"/>
      <c r="L1305" s="45"/>
      <c r="M1305" s="143"/>
    </row>
    <row r="1306" spans="1:16" ht="12.75" hidden="1" customHeight="1" x14ac:dyDescent="0.2">
      <c r="A1306" s="813">
        <v>9</v>
      </c>
      <c r="B1306" s="307"/>
      <c r="C1306" s="307"/>
      <c r="D1306" s="433"/>
      <c r="E1306" s="307"/>
      <c r="F1306" s="307"/>
      <c r="G1306" s="214" t="s">
        <v>2154</v>
      </c>
      <c r="H1306" s="211">
        <f>H1298</f>
        <v>100</v>
      </c>
      <c r="I1306" s="211"/>
      <c r="J1306" s="68"/>
      <c r="K1306" s="161"/>
      <c r="L1306" s="45"/>
      <c r="M1306" s="143"/>
    </row>
    <row r="1307" spans="1:16" ht="12.75" hidden="1" customHeight="1" x14ac:dyDescent="0.2">
      <c r="A1307" s="813">
        <v>9</v>
      </c>
      <c r="B1307" s="307"/>
      <c r="C1307" s="307"/>
      <c r="D1307" s="433"/>
      <c r="E1307" s="307"/>
      <c r="F1307" s="307"/>
      <c r="G1307" s="210" t="s">
        <v>175</v>
      </c>
      <c r="H1307" s="211"/>
      <c r="I1307" s="211"/>
      <c r="J1307" s="68"/>
      <c r="K1307" s="161"/>
      <c r="L1307" s="45"/>
      <c r="M1307" s="143"/>
    </row>
    <row r="1308" spans="1:16" ht="12.75" hidden="1" customHeight="1" x14ac:dyDescent="0.2">
      <c r="A1308" s="813">
        <v>9</v>
      </c>
      <c r="B1308" s="307"/>
      <c r="C1308" s="307"/>
      <c r="D1308" s="433"/>
      <c r="E1308" s="307"/>
      <c r="F1308" s="307"/>
      <c r="G1308" s="210" t="s">
        <v>22</v>
      </c>
      <c r="H1308" s="211">
        <f>SUM(H1061,H1077,H1079,H1082,H1084,H1284)</f>
        <v>110</v>
      </c>
      <c r="I1308" s="211"/>
      <c r="J1308" s="68"/>
      <c r="K1308" s="161"/>
      <c r="L1308" s="45"/>
      <c r="M1308" s="143"/>
    </row>
    <row r="1309" spans="1:16" ht="12.75" hidden="1" customHeight="1" x14ac:dyDescent="0.2">
      <c r="A1309" s="813">
        <v>9</v>
      </c>
      <c r="B1309" s="307"/>
      <c r="C1309" s="307"/>
      <c r="D1309" s="433"/>
      <c r="E1309" s="307"/>
      <c r="F1309" s="307"/>
      <c r="G1309" s="210" t="s">
        <v>589</v>
      </c>
      <c r="H1309" s="211">
        <f>H1285</f>
        <v>0</v>
      </c>
      <c r="I1309" s="211"/>
      <c r="J1309" s="68"/>
      <c r="K1309" s="161"/>
      <c r="L1309" s="45"/>
      <c r="M1309" s="143"/>
    </row>
    <row r="1310" spans="1:16" ht="12.75" hidden="1" customHeight="1" x14ac:dyDescent="0.2">
      <c r="A1310" s="813">
        <v>9</v>
      </c>
      <c r="B1310" s="307"/>
      <c r="C1310" s="307"/>
      <c r="D1310" s="433"/>
      <c r="E1310" s="307"/>
      <c r="F1310" s="307"/>
      <c r="G1310" s="210" t="s">
        <v>1681</v>
      </c>
      <c r="H1310" s="211">
        <f>SUM(H1140)</f>
        <v>7.3</v>
      </c>
      <c r="I1310" s="211"/>
      <c r="J1310" s="68"/>
      <c r="K1310" s="161"/>
      <c r="L1310" s="45"/>
      <c r="M1310" s="143"/>
    </row>
    <row r="1311" spans="1:16" ht="12.75" hidden="1" customHeight="1" x14ac:dyDescent="0.2">
      <c r="A1311" s="813">
        <v>9</v>
      </c>
      <c r="B1311" s="307"/>
      <c r="C1311" s="307"/>
      <c r="D1311" s="433"/>
      <c r="E1311" s="307"/>
      <c r="F1311" s="307"/>
      <c r="G1311" s="210" t="s">
        <v>1684</v>
      </c>
      <c r="H1311" s="211">
        <f>H1141</f>
        <v>7.3</v>
      </c>
      <c r="I1311" s="211"/>
      <c r="J1311" s="68"/>
      <c r="K1311" s="161"/>
      <c r="L1311" s="45"/>
      <c r="M1311" s="143"/>
    </row>
    <row r="1312" spans="1:16" ht="12.75" hidden="1" customHeight="1" x14ac:dyDescent="0.2">
      <c r="A1312" s="813">
        <v>9</v>
      </c>
      <c r="B1312" s="307"/>
      <c r="C1312" s="307"/>
      <c r="D1312" s="433"/>
      <c r="E1312" s="307"/>
      <c r="F1312" s="307"/>
      <c r="G1312" s="210" t="s">
        <v>248</v>
      </c>
      <c r="H1312" s="211"/>
      <c r="I1312" s="211"/>
      <c r="J1312" s="68"/>
      <c r="K1312" s="161"/>
      <c r="L1312" s="45"/>
      <c r="M1312" s="143"/>
    </row>
    <row r="1313" spans="1:13" ht="12.75" hidden="1" customHeight="1" x14ac:dyDescent="0.2">
      <c r="A1313" s="813">
        <v>9</v>
      </c>
      <c r="B1313" s="307"/>
      <c r="C1313" s="307"/>
      <c r="D1313" s="433"/>
      <c r="E1313" s="307"/>
      <c r="F1313" s="307"/>
      <c r="G1313" s="210" t="s">
        <v>249</v>
      </c>
      <c r="H1313" s="211">
        <f>SUM(H1231+H1118+H1145)</f>
        <v>30.2</v>
      </c>
      <c r="I1313" s="211"/>
      <c r="J1313" s="68"/>
      <c r="K1313" s="161"/>
      <c r="L1313" s="45"/>
      <c r="M1313" s="143"/>
    </row>
    <row r="1314" spans="1:13" ht="12.75" hidden="1" customHeight="1" x14ac:dyDescent="0.2">
      <c r="A1314" s="813">
        <v>9</v>
      </c>
      <c r="B1314" s="307"/>
      <c r="C1314" s="307"/>
      <c r="D1314" s="433"/>
      <c r="E1314" s="307"/>
      <c r="F1314" s="307"/>
      <c r="G1314" s="307" t="s">
        <v>424</v>
      </c>
      <c r="H1314" s="211">
        <f>SUM(H1267,H1277)</f>
        <v>84.1</v>
      </c>
      <c r="I1314" s="211"/>
      <c r="J1314" s="68"/>
      <c r="K1314" s="161"/>
      <c r="L1314" s="45"/>
      <c r="M1314" s="143"/>
    </row>
    <row r="1315" spans="1:13" ht="12.75" hidden="1" customHeight="1" x14ac:dyDescent="0.2">
      <c r="A1315" s="813">
        <v>9</v>
      </c>
      <c r="B1315" s="307"/>
      <c r="C1315" s="307"/>
      <c r="D1315" s="433"/>
      <c r="E1315" s="307"/>
      <c r="F1315" s="307"/>
      <c r="G1315" s="311" t="s">
        <v>1858</v>
      </c>
      <c r="H1315" s="211">
        <f>H1268</f>
        <v>5</v>
      </c>
      <c r="I1315" s="211"/>
      <c r="J1315" s="68"/>
      <c r="K1315" s="161"/>
      <c r="L1315" s="45"/>
      <c r="M1315" s="143"/>
    </row>
    <row r="1316" spans="1:13" ht="12.75" hidden="1" customHeight="1" x14ac:dyDescent="0.2">
      <c r="A1316" s="813">
        <v>9</v>
      </c>
      <c r="B1316" s="307"/>
      <c r="C1316" s="307"/>
      <c r="D1316" s="433"/>
      <c r="E1316" s="307"/>
      <c r="F1316" s="307"/>
      <c r="G1316" s="307" t="s">
        <v>487</v>
      </c>
      <c r="H1316" s="211"/>
      <c r="I1316" s="211"/>
      <c r="J1316" s="68"/>
      <c r="K1316" s="161"/>
      <c r="L1316" s="45"/>
      <c r="M1316" s="143"/>
    </row>
    <row r="1317" spans="1:13" ht="12.75" hidden="1" customHeight="1" x14ac:dyDescent="0.2">
      <c r="A1317" s="813">
        <v>9</v>
      </c>
      <c r="B1317" s="307"/>
      <c r="C1317" s="307"/>
      <c r="D1317" s="433"/>
      <c r="E1317" s="307"/>
      <c r="F1317" s="307"/>
      <c r="G1317" s="210" t="s">
        <v>56</v>
      </c>
      <c r="H1317" s="211">
        <f>SUM(H1293,H1206,H1203,H1248,H1209,H1279)</f>
        <v>2113.2000000000003</v>
      </c>
      <c r="I1317" s="211"/>
      <c r="J1317" s="68"/>
      <c r="K1317" s="161"/>
      <c r="L1317" s="45"/>
      <c r="M1317" s="143"/>
    </row>
    <row r="1318" spans="1:13" ht="12.75" hidden="1" customHeight="1" x14ac:dyDescent="0.2">
      <c r="A1318" s="813">
        <v>9</v>
      </c>
      <c r="B1318" s="307"/>
      <c r="C1318" s="307"/>
      <c r="D1318" s="433"/>
      <c r="E1318" s="307"/>
      <c r="F1318" s="307"/>
      <c r="G1318" s="210" t="s">
        <v>59</v>
      </c>
      <c r="H1318" s="211">
        <f>SUM(H1100)</f>
        <v>15.799999999999999</v>
      </c>
      <c r="I1318" s="211"/>
      <c r="J1318" s="68"/>
      <c r="K1318" s="161"/>
      <c r="L1318" s="45"/>
      <c r="M1318" s="143"/>
    </row>
    <row r="1319" spans="1:13" ht="12.75" hidden="1" customHeight="1" x14ac:dyDescent="0.2">
      <c r="A1319" s="813">
        <v>9</v>
      </c>
      <c r="B1319" s="307"/>
      <c r="C1319" s="307"/>
      <c r="D1319" s="433"/>
      <c r="E1319" s="307"/>
      <c r="F1319" s="307"/>
      <c r="G1319" s="210" t="s">
        <v>75</v>
      </c>
      <c r="H1319" s="211">
        <f>SUM(H1238,H1276)</f>
        <v>460.8</v>
      </c>
      <c r="I1319" s="211"/>
      <c r="J1319" s="68"/>
      <c r="K1319" s="161"/>
      <c r="L1319" s="45"/>
      <c r="M1319" s="143"/>
    </row>
    <row r="1320" spans="1:13" ht="12.75" hidden="1" customHeight="1" x14ac:dyDescent="0.2">
      <c r="A1320" s="813">
        <v>9</v>
      </c>
      <c r="B1320" s="307"/>
      <c r="C1320" s="307"/>
      <c r="D1320" s="433"/>
      <c r="E1320" s="307"/>
      <c r="F1320" s="307"/>
      <c r="G1320" s="210" t="s">
        <v>23</v>
      </c>
      <c r="H1320" s="211">
        <f>SUM(H1096)</f>
        <v>0</v>
      </c>
      <c r="I1320" s="211"/>
      <c r="J1320" s="68"/>
      <c r="K1320" s="161"/>
      <c r="L1320" s="45"/>
      <c r="M1320" s="143"/>
    </row>
    <row r="1321" spans="1:13" ht="12.75" hidden="1" customHeight="1" x14ac:dyDescent="0.2">
      <c r="A1321" s="813">
        <v>9</v>
      </c>
      <c r="B1321" s="307"/>
      <c r="C1321" s="307"/>
      <c r="D1321" s="433"/>
      <c r="E1321" s="307"/>
      <c r="F1321" s="307"/>
      <c r="G1321" s="210" t="s">
        <v>692</v>
      </c>
      <c r="H1321" s="211"/>
      <c r="I1321" s="211"/>
      <c r="J1321" s="68"/>
      <c r="K1321" s="161"/>
      <c r="L1321" s="45"/>
      <c r="M1321" s="143"/>
    </row>
    <row r="1322" spans="1:13" ht="12.75" hidden="1" customHeight="1" x14ac:dyDescent="0.2">
      <c r="A1322" s="813">
        <v>9</v>
      </c>
      <c r="B1322" s="307"/>
      <c r="C1322" s="307"/>
      <c r="D1322" s="433"/>
      <c r="E1322" s="307"/>
      <c r="F1322" s="307"/>
      <c r="G1322" s="214" t="s">
        <v>1411</v>
      </c>
      <c r="H1322" s="211">
        <f>H1138</f>
        <v>0</v>
      </c>
      <c r="I1322" s="211"/>
      <c r="J1322" s="68"/>
      <c r="K1322" s="161"/>
      <c r="L1322" s="45"/>
      <c r="M1322" s="143"/>
    </row>
    <row r="1323" spans="1:13" ht="12.75" hidden="1" customHeight="1" x14ac:dyDescent="0.2">
      <c r="A1323" s="813">
        <v>9</v>
      </c>
      <c r="B1323" s="307"/>
      <c r="C1323" s="307"/>
      <c r="D1323" s="433"/>
      <c r="E1323" s="307"/>
      <c r="F1323" s="307"/>
      <c r="G1323" s="299" t="s">
        <v>247</v>
      </c>
      <c r="H1323" s="299">
        <f>SUM(H1302:H1322)</f>
        <v>24916.1</v>
      </c>
      <c r="I1323" s="382"/>
      <c r="J1323" s="68"/>
      <c r="K1323" s="161"/>
      <c r="L1323" s="45"/>
      <c r="M1323" s="143"/>
    </row>
    <row r="1324" spans="1:13" ht="12.75" hidden="1" customHeight="1" x14ac:dyDescent="0.2">
      <c r="A1324" s="467"/>
      <c r="B1324" s="467"/>
      <c r="C1324" s="467"/>
      <c r="D1324" s="781"/>
      <c r="E1324" s="467"/>
      <c r="F1324" s="467"/>
      <c r="G1324" s="782"/>
      <c r="H1324" s="783">
        <f>H1301-H1323</f>
        <v>0</v>
      </c>
      <c r="I1324" s="783"/>
      <c r="J1324" s="174"/>
      <c r="K1324" s="172"/>
      <c r="L1324" s="151"/>
      <c r="M1324" s="59"/>
    </row>
    <row r="1325" spans="1:13" ht="12.75" customHeight="1" x14ac:dyDescent="0.2">
      <c r="G1325" s="942"/>
      <c r="H1325" s="943"/>
      <c r="J1325" s="158"/>
      <c r="K1325" s="172"/>
      <c r="L1325" s="151"/>
      <c r="M1325" s="59"/>
    </row>
    <row r="1326" spans="1:13" ht="12.75" customHeight="1" x14ac:dyDescent="0.2">
      <c r="J1326" s="158"/>
      <c r="K1326" s="172"/>
      <c r="L1326" s="151"/>
      <c r="M1326" s="59"/>
    </row>
    <row r="1327" spans="1:13" ht="12.75" customHeight="1" x14ac:dyDescent="0.2">
      <c r="J1327" s="158"/>
      <c r="K1327" s="172"/>
      <c r="L1327" s="151"/>
      <c r="M1327" s="59"/>
    </row>
    <row r="1328" spans="1:13" ht="12.75" customHeight="1" x14ac:dyDescent="0.2">
      <c r="J1328" s="158"/>
      <c r="K1328" s="172"/>
      <c r="L1328" s="151"/>
      <c r="M1328" s="59"/>
    </row>
  </sheetData>
  <sheetProtection formatCells="0" formatColumns="0" formatRows="0" sort="0" autoFilter="0"/>
  <protectedRanges>
    <protectedRange sqref="J89:J92 J102 J120" name="Diapazonas1_2"/>
  </protectedRanges>
  <autoFilter ref="A3:M1324" xr:uid="{00000000-0009-0000-0000-00000E000000}"/>
  <mergeCells count="71">
    <mergeCell ref="D688:D689"/>
    <mergeCell ref="D961:D962"/>
    <mergeCell ref="D862:D863"/>
    <mergeCell ref="D880:D882"/>
    <mergeCell ref="D883:D884"/>
    <mergeCell ref="D888:D890"/>
    <mergeCell ref="D959:D960"/>
    <mergeCell ref="D864:D865"/>
    <mergeCell ref="D846:D849"/>
    <mergeCell ref="D850:D853"/>
    <mergeCell ref="D854:D855"/>
    <mergeCell ref="D856:D857"/>
    <mergeCell ref="D858:D859"/>
    <mergeCell ref="D755:D756"/>
    <mergeCell ref="D775:D776"/>
    <mergeCell ref="D777:D778"/>
    <mergeCell ref="D825:D826"/>
    <mergeCell ref="D844:D845"/>
    <mergeCell ref="D741:D742"/>
    <mergeCell ref="D743:D744"/>
    <mergeCell ref="D745:D749"/>
    <mergeCell ref="D750:D751"/>
    <mergeCell ref="D753:D754"/>
    <mergeCell ref="D727:D728"/>
    <mergeCell ref="D729:D730"/>
    <mergeCell ref="D731:D734"/>
    <mergeCell ref="D735:D736"/>
    <mergeCell ref="D737:D740"/>
    <mergeCell ref="D716:D717"/>
    <mergeCell ref="D718:D719"/>
    <mergeCell ref="D720:D721"/>
    <mergeCell ref="D722:D723"/>
    <mergeCell ref="D724:D725"/>
    <mergeCell ref="D706:D709"/>
    <mergeCell ref="D710:D711"/>
    <mergeCell ref="D712:D713"/>
    <mergeCell ref="D714:D715"/>
    <mergeCell ref="D702:D705"/>
    <mergeCell ref="D659:D660"/>
    <mergeCell ref="D663:D664"/>
    <mergeCell ref="D669:D671"/>
    <mergeCell ref="D682:D684"/>
    <mergeCell ref="D397:D400"/>
    <mergeCell ref="D645:D646"/>
    <mergeCell ref="D653:D657"/>
    <mergeCell ref="D661:D662"/>
    <mergeCell ref="D299:D302"/>
    <mergeCell ref="D222:D225"/>
    <mergeCell ref="D227:D229"/>
    <mergeCell ref="D235:D236"/>
    <mergeCell ref="D111:D113"/>
    <mergeCell ref="D176:D177"/>
    <mergeCell ref="D183:D185"/>
    <mergeCell ref="D217:D218"/>
    <mergeCell ref="D271:D272"/>
    <mergeCell ref="D10:D13"/>
    <mergeCell ref="D61:D64"/>
    <mergeCell ref="D36:D37"/>
    <mergeCell ref="D16:D18"/>
    <mergeCell ref="D25:D29"/>
    <mergeCell ref="D39:D40"/>
    <mergeCell ref="M3:M4"/>
    <mergeCell ref="D1:G1"/>
    <mergeCell ref="A3:A4"/>
    <mergeCell ref="B3:B4"/>
    <mergeCell ref="C3:C4"/>
    <mergeCell ref="D3:D4"/>
    <mergeCell ref="E3:E4"/>
    <mergeCell ref="F3:F4"/>
    <mergeCell ref="G3:G4"/>
    <mergeCell ref="L1:M1"/>
  </mergeCells>
  <phoneticPr fontId="15" type="noConversion"/>
  <pageMargins left="0.23622047244094491" right="0.56818181818181823" top="0.74803149606299213" bottom="0.74803149606299213" header="0.31496062992125984" footer="0.31496062992125984"/>
  <pageSetup paperSize="9" scale="66" fitToHeight="0" orientation="landscape" horizontalDpi="4294967293" verticalDpi="4294967293" r:id="rId1"/>
  <headerFooter alignWithMargins="0">
    <oddHeader>&amp;C&amp;P</oddHeader>
  </headerFooter>
  <ignoredErrors>
    <ignoredError sqref="E115" twoDigitTextYear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623C0-3B6F-4392-83A8-06991297F537}">
  <dimension ref="B1:D110"/>
  <sheetViews>
    <sheetView topLeftCell="B83" workbookViewId="0">
      <selection activeCell="I94" sqref="I94"/>
    </sheetView>
  </sheetViews>
  <sheetFormatPr defaultRowHeight="12.75" x14ac:dyDescent="0.2"/>
  <cols>
    <col min="2" max="2" width="45.28515625" customWidth="1"/>
    <col min="3" max="3" width="12.85546875" style="16" customWidth="1"/>
    <col min="4" max="4" width="23.85546875" customWidth="1"/>
  </cols>
  <sheetData>
    <row r="1" spans="2:4" ht="13.5" thickBot="1" x14ac:dyDescent="0.25">
      <c r="C1"/>
    </row>
    <row r="2" spans="2:4" ht="30.75" thickBot="1" x14ac:dyDescent="0.3">
      <c r="B2" s="1" t="s">
        <v>1910</v>
      </c>
      <c r="C2" s="2" t="s">
        <v>1911</v>
      </c>
      <c r="D2" s="3" t="s">
        <v>1912</v>
      </c>
    </row>
    <row r="3" spans="2:4" ht="24.75" customHeight="1" x14ac:dyDescent="0.2">
      <c r="B3" s="4"/>
      <c r="C3" s="5"/>
      <c r="D3" s="6"/>
    </row>
    <row r="4" spans="2:4" ht="25.5" customHeight="1" x14ac:dyDescent="0.25">
      <c r="B4" s="7" t="s">
        <v>1913</v>
      </c>
      <c r="C4" s="8">
        <v>1</v>
      </c>
      <c r="D4" s="9" t="s">
        <v>1914</v>
      </c>
    </row>
    <row r="5" spans="2:4" ht="25.5" customHeight="1" x14ac:dyDescent="0.25">
      <c r="B5" s="10" t="s">
        <v>1915</v>
      </c>
      <c r="C5" s="8">
        <v>2</v>
      </c>
      <c r="D5" s="9" t="s">
        <v>1916</v>
      </c>
    </row>
    <row r="6" spans="2:4" ht="25.5" customHeight="1" x14ac:dyDescent="0.25">
      <c r="B6" s="10" t="s">
        <v>1917</v>
      </c>
      <c r="C6" s="8">
        <v>3</v>
      </c>
      <c r="D6" s="9" t="s">
        <v>1918</v>
      </c>
    </row>
    <row r="7" spans="2:4" ht="25.5" customHeight="1" x14ac:dyDescent="0.25">
      <c r="B7" s="10" t="s">
        <v>1919</v>
      </c>
      <c r="C7" s="8">
        <v>4</v>
      </c>
      <c r="D7" s="9" t="s">
        <v>1920</v>
      </c>
    </row>
    <row r="8" spans="2:4" ht="25.5" customHeight="1" x14ac:dyDescent="0.25">
      <c r="B8" s="10" t="s">
        <v>1921</v>
      </c>
      <c r="C8" s="8">
        <v>5</v>
      </c>
      <c r="D8" s="9" t="s">
        <v>1922</v>
      </c>
    </row>
    <row r="9" spans="2:4" ht="25.5" customHeight="1" x14ac:dyDescent="0.25">
      <c r="B9" s="10" t="s">
        <v>1923</v>
      </c>
      <c r="C9" s="8">
        <v>6</v>
      </c>
      <c r="D9" s="9" t="s">
        <v>1924</v>
      </c>
    </row>
    <row r="10" spans="2:4" ht="25.5" customHeight="1" x14ac:dyDescent="0.25">
      <c r="B10" s="10" t="s">
        <v>1925</v>
      </c>
      <c r="C10" s="8">
        <v>7</v>
      </c>
      <c r="D10" s="9" t="s">
        <v>645</v>
      </c>
    </row>
    <row r="11" spans="2:4" ht="25.5" customHeight="1" x14ac:dyDescent="0.25">
      <c r="B11" s="10" t="s">
        <v>1926</v>
      </c>
      <c r="C11" s="8" t="s">
        <v>1927</v>
      </c>
      <c r="D11" s="11" t="s">
        <v>1928</v>
      </c>
    </row>
    <row r="12" spans="2:4" ht="25.5" customHeight="1" x14ac:dyDescent="0.25">
      <c r="B12" s="12" t="s">
        <v>1929</v>
      </c>
      <c r="C12" s="13" t="s">
        <v>660</v>
      </c>
      <c r="D12" s="11" t="s">
        <v>1928</v>
      </c>
    </row>
    <row r="13" spans="2:4" ht="25.5" customHeight="1" x14ac:dyDescent="0.25">
      <c r="B13" s="10" t="s">
        <v>1930</v>
      </c>
      <c r="C13" s="8" t="s">
        <v>662</v>
      </c>
      <c r="D13" s="11" t="s">
        <v>1928</v>
      </c>
    </row>
    <row r="14" spans="2:4" ht="25.5" customHeight="1" x14ac:dyDescent="0.25">
      <c r="B14" s="10" t="s">
        <v>1931</v>
      </c>
      <c r="C14" s="8" t="s">
        <v>663</v>
      </c>
      <c r="D14" s="11" t="s">
        <v>1928</v>
      </c>
    </row>
    <row r="15" spans="2:4" ht="25.5" customHeight="1" x14ac:dyDescent="0.25">
      <c r="B15" s="10" t="s">
        <v>1932</v>
      </c>
      <c r="C15" s="8" t="s">
        <v>621</v>
      </c>
      <c r="D15" s="11" t="s">
        <v>1928</v>
      </c>
    </row>
    <row r="16" spans="2:4" ht="25.5" customHeight="1" x14ac:dyDescent="0.25">
      <c r="B16" s="10" t="s">
        <v>1933</v>
      </c>
      <c r="C16" s="8" t="s">
        <v>741</v>
      </c>
      <c r="D16" s="11" t="s">
        <v>1928</v>
      </c>
    </row>
    <row r="17" spans="2:4" ht="25.5" customHeight="1" x14ac:dyDescent="0.25">
      <c r="B17" s="10" t="s">
        <v>1934</v>
      </c>
      <c r="C17" s="8" t="s">
        <v>739</v>
      </c>
      <c r="D17" s="11" t="s">
        <v>1928</v>
      </c>
    </row>
    <row r="18" spans="2:4" ht="25.5" customHeight="1" x14ac:dyDescent="0.25">
      <c r="B18" s="10" t="s">
        <v>1935</v>
      </c>
      <c r="C18" s="8" t="s">
        <v>740</v>
      </c>
      <c r="D18" s="11" t="s">
        <v>1928</v>
      </c>
    </row>
    <row r="19" spans="2:4" ht="25.5" customHeight="1" x14ac:dyDescent="0.25">
      <c r="B19" s="10" t="s">
        <v>1936</v>
      </c>
      <c r="C19" s="8" t="s">
        <v>742</v>
      </c>
      <c r="D19" s="11" t="s">
        <v>1928</v>
      </c>
    </row>
    <row r="20" spans="2:4" ht="25.5" customHeight="1" x14ac:dyDescent="0.25">
      <c r="B20" s="10" t="s">
        <v>1937</v>
      </c>
      <c r="C20" s="8" t="s">
        <v>651</v>
      </c>
      <c r="D20" s="11" t="s">
        <v>1928</v>
      </c>
    </row>
    <row r="21" spans="2:4" ht="25.5" customHeight="1" x14ac:dyDescent="0.25">
      <c r="B21" s="10" t="s">
        <v>1938</v>
      </c>
      <c r="C21" s="8">
        <v>8</v>
      </c>
      <c r="D21" s="9" t="s">
        <v>1939</v>
      </c>
    </row>
    <row r="22" spans="2:4" ht="25.5" customHeight="1" x14ac:dyDescent="0.25">
      <c r="B22" s="10" t="s">
        <v>1940</v>
      </c>
      <c r="C22" s="8" t="s">
        <v>1353</v>
      </c>
      <c r="D22" s="11" t="s">
        <v>1928</v>
      </c>
    </row>
    <row r="23" spans="2:4" ht="25.5" customHeight="1" x14ac:dyDescent="0.25">
      <c r="B23" s="10" t="s">
        <v>1388</v>
      </c>
      <c r="C23" s="8" t="s">
        <v>1352</v>
      </c>
      <c r="D23" s="11" t="s">
        <v>1928</v>
      </c>
    </row>
    <row r="24" spans="2:4" ht="25.5" customHeight="1" x14ac:dyDescent="0.25">
      <c r="B24" s="10" t="s">
        <v>1389</v>
      </c>
      <c r="C24" s="8" t="s">
        <v>1354</v>
      </c>
      <c r="D24" s="11" t="s">
        <v>1928</v>
      </c>
    </row>
    <row r="25" spans="2:4" ht="25.5" customHeight="1" x14ac:dyDescent="0.25">
      <c r="B25" s="10" t="s">
        <v>1390</v>
      </c>
      <c r="C25" s="8" t="s">
        <v>1348</v>
      </c>
      <c r="D25" s="11" t="s">
        <v>1928</v>
      </c>
    </row>
    <row r="26" spans="2:4" ht="25.5" customHeight="1" x14ac:dyDescent="0.25">
      <c r="B26" s="10" t="s">
        <v>1391</v>
      </c>
      <c r="C26" s="8" t="s">
        <v>1349</v>
      </c>
      <c r="D26" s="11" t="s">
        <v>1928</v>
      </c>
    </row>
    <row r="27" spans="2:4" ht="25.5" customHeight="1" x14ac:dyDescent="0.25">
      <c r="B27" s="10" t="s">
        <v>1392</v>
      </c>
      <c r="C27" s="8" t="s">
        <v>395</v>
      </c>
      <c r="D27" s="11" t="s">
        <v>1928</v>
      </c>
    </row>
    <row r="28" spans="2:4" ht="25.5" customHeight="1" x14ac:dyDescent="0.25">
      <c r="B28" s="10" t="s">
        <v>1393</v>
      </c>
      <c r="C28" s="8" t="s">
        <v>1350</v>
      </c>
      <c r="D28" s="11" t="s">
        <v>1928</v>
      </c>
    </row>
    <row r="29" spans="2:4" ht="25.5" customHeight="1" x14ac:dyDescent="0.25">
      <c r="B29" s="10" t="s">
        <v>1394</v>
      </c>
      <c r="C29" s="8" t="s">
        <v>1351</v>
      </c>
      <c r="D29" s="11" t="s">
        <v>1928</v>
      </c>
    </row>
    <row r="30" spans="2:4" ht="25.5" customHeight="1" x14ac:dyDescent="0.25">
      <c r="B30" s="10" t="s">
        <v>1941</v>
      </c>
      <c r="C30" s="8">
        <v>9</v>
      </c>
      <c r="D30" s="9" t="s">
        <v>1942</v>
      </c>
    </row>
    <row r="31" spans="2:4" ht="25.5" customHeight="1" x14ac:dyDescent="0.25">
      <c r="B31" s="10" t="s">
        <v>1943</v>
      </c>
      <c r="C31" s="8" t="s">
        <v>465</v>
      </c>
      <c r="D31" s="9" t="s">
        <v>1944</v>
      </c>
    </row>
    <row r="32" spans="2:4" ht="25.5" customHeight="1" x14ac:dyDescent="0.25">
      <c r="B32" s="10" t="s">
        <v>1945</v>
      </c>
      <c r="C32" s="8" t="s">
        <v>1262</v>
      </c>
      <c r="D32" s="11" t="s">
        <v>1928</v>
      </c>
    </row>
    <row r="33" spans="2:4" ht="25.5" customHeight="1" x14ac:dyDescent="0.25">
      <c r="B33" s="10" t="s">
        <v>1946</v>
      </c>
      <c r="C33" s="8" t="s">
        <v>1882</v>
      </c>
      <c r="D33" s="11" t="s">
        <v>1928</v>
      </c>
    </row>
    <row r="34" spans="2:4" ht="25.5" customHeight="1" x14ac:dyDescent="0.25">
      <c r="B34" s="14" t="s">
        <v>1947</v>
      </c>
      <c r="C34" s="8">
        <v>10</v>
      </c>
      <c r="D34" s="9" t="s">
        <v>1948</v>
      </c>
    </row>
    <row r="35" spans="2:4" ht="25.5" customHeight="1" x14ac:dyDescent="0.25">
      <c r="B35" s="10" t="s">
        <v>1949</v>
      </c>
      <c r="C35" s="8">
        <v>11</v>
      </c>
      <c r="D35" s="9" t="s">
        <v>1950</v>
      </c>
    </row>
    <row r="36" spans="2:4" ht="25.5" customHeight="1" x14ac:dyDescent="0.25">
      <c r="B36" s="10" t="s">
        <v>1951</v>
      </c>
      <c r="C36" s="8" t="s">
        <v>15</v>
      </c>
      <c r="D36" s="11" t="s">
        <v>1928</v>
      </c>
    </row>
    <row r="37" spans="2:4" ht="25.5" customHeight="1" x14ac:dyDescent="0.25">
      <c r="B37" s="10" t="s">
        <v>1952</v>
      </c>
      <c r="C37" s="8" t="s">
        <v>25</v>
      </c>
      <c r="D37" s="11" t="s">
        <v>1928</v>
      </c>
    </row>
    <row r="38" spans="2:4" ht="25.5" customHeight="1" x14ac:dyDescent="0.25">
      <c r="B38" s="10" t="s">
        <v>1953</v>
      </c>
      <c r="C38" s="8" t="s">
        <v>27</v>
      </c>
      <c r="D38" s="11" t="s">
        <v>1928</v>
      </c>
    </row>
    <row r="39" spans="2:4" ht="25.5" customHeight="1" x14ac:dyDescent="0.25">
      <c r="B39" s="10" t="s">
        <v>1954</v>
      </c>
      <c r="C39" s="8" t="s">
        <v>28</v>
      </c>
      <c r="D39" s="11" t="s">
        <v>1928</v>
      </c>
    </row>
    <row r="40" spans="2:4" ht="25.5" customHeight="1" x14ac:dyDescent="0.25">
      <c r="B40" s="10" t="s">
        <v>1955</v>
      </c>
      <c r="C40" s="8" t="s">
        <v>29</v>
      </c>
      <c r="D40" s="11" t="s">
        <v>1928</v>
      </c>
    </row>
    <row r="41" spans="2:4" ht="25.5" customHeight="1" x14ac:dyDescent="0.25">
      <c r="B41" s="10" t="s">
        <v>167</v>
      </c>
      <c r="C41" s="8" t="s">
        <v>26</v>
      </c>
      <c r="D41" s="11" t="s">
        <v>1928</v>
      </c>
    </row>
    <row r="42" spans="2:4" ht="25.5" customHeight="1" x14ac:dyDescent="0.25">
      <c r="B42" s="10" t="s">
        <v>168</v>
      </c>
      <c r="C42" s="8" t="s">
        <v>30</v>
      </c>
      <c r="D42" s="11" t="s">
        <v>1928</v>
      </c>
    </row>
    <row r="43" spans="2:4" ht="25.5" customHeight="1" x14ac:dyDescent="0.25">
      <c r="B43" s="10" t="s">
        <v>1956</v>
      </c>
      <c r="C43" s="8" t="s">
        <v>31</v>
      </c>
      <c r="D43" s="11" t="s">
        <v>1928</v>
      </c>
    </row>
    <row r="44" spans="2:4" ht="25.5" customHeight="1" x14ac:dyDescent="0.25">
      <c r="B44" s="10" t="s">
        <v>1957</v>
      </c>
      <c r="C44" s="8" t="s">
        <v>32</v>
      </c>
      <c r="D44" s="11" t="s">
        <v>1928</v>
      </c>
    </row>
    <row r="45" spans="2:4" ht="25.5" customHeight="1" x14ac:dyDescent="0.25">
      <c r="B45" s="10" t="s">
        <v>1958</v>
      </c>
      <c r="C45" s="8" t="s">
        <v>33</v>
      </c>
      <c r="D45" s="11" t="s">
        <v>1928</v>
      </c>
    </row>
    <row r="46" spans="2:4" ht="25.5" customHeight="1" x14ac:dyDescent="0.25">
      <c r="B46" s="10" t="s">
        <v>1959</v>
      </c>
      <c r="C46" s="8" t="s">
        <v>34</v>
      </c>
      <c r="D46" s="11" t="s">
        <v>1928</v>
      </c>
    </row>
    <row r="47" spans="2:4" ht="25.5" customHeight="1" x14ac:dyDescent="0.25">
      <c r="B47" s="10" t="s">
        <v>1960</v>
      </c>
      <c r="C47" s="8" t="s">
        <v>35</v>
      </c>
      <c r="D47" s="11" t="s">
        <v>1928</v>
      </c>
    </row>
    <row r="48" spans="2:4" ht="25.5" customHeight="1" x14ac:dyDescent="0.25">
      <c r="B48" s="10" t="s">
        <v>1961</v>
      </c>
      <c r="C48" s="8" t="s">
        <v>36</v>
      </c>
      <c r="D48" s="11" t="s">
        <v>1928</v>
      </c>
    </row>
    <row r="49" spans="2:4" ht="25.5" customHeight="1" x14ac:dyDescent="0.25">
      <c r="B49" s="10" t="s">
        <v>1962</v>
      </c>
      <c r="C49" s="8" t="s">
        <v>37</v>
      </c>
      <c r="D49" s="11" t="s">
        <v>1928</v>
      </c>
    </row>
    <row r="50" spans="2:4" ht="25.5" customHeight="1" x14ac:dyDescent="0.25">
      <c r="B50" s="10" t="s">
        <v>1963</v>
      </c>
      <c r="C50" s="8" t="s">
        <v>38</v>
      </c>
      <c r="D50" s="11" t="s">
        <v>1928</v>
      </c>
    </row>
    <row r="51" spans="2:4" ht="25.5" customHeight="1" x14ac:dyDescent="0.25">
      <c r="B51" s="10" t="s">
        <v>1964</v>
      </c>
      <c r="C51" s="8" t="s">
        <v>39</v>
      </c>
      <c r="D51" s="11" t="s">
        <v>1928</v>
      </c>
    </row>
    <row r="52" spans="2:4" ht="25.5" customHeight="1" x14ac:dyDescent="0.25">
      <c r="B52" s="10" t="s">
        <v>1965</v>
      </c>
      <c r="C52" s="8" t="s">
        <v>40</v>
      </c>
      <c r="D52" s="11" t="s">
        <v>1928</v>
      </c>
    </row>
    <row r="53" spans="2:4" ht="25.5" customHeight="1" x14ac:dyDescent="0.25">
      <c r="B53" s="10" t="s">
        <v>1966</v>
      </c>
      <c r="C53" s="8" t="s">
        <v>41</v>
      </c>
      <c r="D53" s="11" t="s">
        <v>1928</v>
      </c>
    </row>
    <row r="54" spans="2:4" ht="25.5" customHeight="1" x14ac:dyDescent="0.25">
      <c r="B54" s="10" t="s">
        <v>169</v>
      </c>
      <c r="C54" s="8" t="s">
        <v>127</v>
      </c>
      <c r="D54" s="11" t="s">
        <v>1928</v>
      </c>
    </row>
    <row r="55" spans="2:4" ht="25.5" customHeight="1" x14ac:dyDescent="0.25">
      <c r="B55" s="10" t="s">
        <v>1967</v>
      </c>
      <c r="C55" s="8" t="s">
        <v>128</v>
      </c>
      <c r="D55" s="11" t="s">
        <v>1928</v>
      </c>
    </row>
    <row r="56" spans="2:4" ht="25.5" customHeight="1" x14ac:dyDescent="0.25">
      <c r="B56" s="10" t="s">
        <v>1968</v>
      </c>
      <c r="C56" s="8" t="s">
        <v>69</v>
      </c>
      <c r="D56" s="11" t="s">
        <v>1928</v>
      </c>
    </row>
    <row r="57" spans="2:4" ht="25.5" customHeight="1" x14ac:dyDescent="0.25">
      <c r="B57" s="10" t="s">
        <v>170</v>
      </c>
      <c r="C57" s="8" t="s">
        <v>68</v>
      </c>
      <c r="D57" s="11" t="s">
        <v>1928</v>
      </c>
    </row>
    <row r="58" spans="2:4" ht="25.5" customHeight="1" x14ac:dyDescent="0.25">
      <c r="B58" s="10" t="s">
        <v>171</v>
      </c>
      <c r="C58" s="8" t="s">
        <v>43</v>
      </c>
      <c r="D58" s="11" t="s">
        <v>1928</v>
      </c>
    </row>
    <row r="59" spans="2:4" ht="25.5" customHeight="1" x14ac:dyDescent="0.25">
      <c r="B59" s="10" t="s">
        <v>1969</v>
      </c>
      <c r="C59" s="8" t="s">
        <v>1501</v>
      </c>
      <c r="D59" s="11" t="s">
        <v>1928</v>
      </c>
    </row>
    <row r="60" spans="2:4" ht="25.5" customHeight="1" x14ac:dyDescent="0.25">
      <c r="B60" s="10" t="s">
        <v>1523</v>
      </c>
      <c r="C60" s="8" t="s">
        <v>1510</v>
      </c>
      <c r="D60" s="11" t="s">
        <v>1928</v>
      </c>
    </row>
    <row r="61" spans="2:4" ht="25.5" customHeight="1" x14ac:dyDescent="0.25">
      <c r="B61" s="10" t="s">
        <v>1970</v>
      </c>
      <c r="C61" s="8" t="s">
        <v>1514</v>
      </c>
      <c r="D61" s="11" t="s">
        <v>1928</v>
      </c>
    </row>
    <row r="62" spans="2:4" ht="25.5" customHeight="1" x14ac:dyDescent="0.25">
      <c r="B62" s="10" t="s">
        <v>1971</v>
      </c>
      <c r="C62" s="8" t="s">
        <v>44</v>
      </c>
      <c r="D62" s="11" t="s">
        <v>1928</v>
      </c>
    </row>
    <row r="63" spans="2:4" ht="25.5" customHeight="1" x14ac:dyDescent="0.25">
      <c r="B63" s="10" t="s">
        <v>1972</v>
      </c>
      <c r="C63" s="8">
        <v>12</v>
      </c>
      <c r="D63" s="9" t="s">
        <v>1973</v>
      </c>
    </row>
    <row r="64" spans="2:4" ht="25.5" customHeight="1" x14ac:dyDescent="0.25">
      <c r="B64" s="10" t="s">
        <v>1974</v>
      </c>
      <c r="C64" s="8">
        <v>13</v>
      </c>
      <c r="D64" s="9" t="s">
        <v>1975</v>
      </c>
    </row>
    <row r="65" spans="2:4" ht="25.5" customHeight="1" x14ac:dyDescent="0.25">
      <c r="B65" s="10" t="s">
        <v>1976</v>
      </c>
      <c r="C65" s="8">
        <v>14</v>
      </c>
      <c r="D65" s="9" t="s">
        <v>1977</v>
      </c>
    </row>
    <row r="66" spans="2:4" ht="25.5" customHeight="1" x14ac:dyDescent="0.25">
      <c r="B66" s="10" t="s">
        <v>1978</v>
      </c>
      <c r="C66" s="8">
        <v>15</v>
      </c>
      <c r="D66" s="9" t="s">
        <v>1979</v>
      </c>
    </row>
    <row r="67" spans="2:4" ht="25.5" customHeight="1" x14ac:dyDescent="0.25">
      <c r="B67" s="10" t="s">
        <v>1980</v>
      </c>
      <c r="C67" s="8" t="s">
        <v>354</v>
      </c>
      <c r="D67" s="11" t="s">
        <v>1928</v>
      </c>
    </row>
    <row r="68" spans="2:4" ht="25.5" customHeight="1" x14ac:dyDescent="0.25">
      <c r="B68" s="10" t="s">
        <v>823</v>
      </c>
      <c r="C68" s="8">
        <v>16</v>
      </c>
      <c r="D68" s="11" t="s">
        <v>1981</v>
      </c>
    </row>
    <row r="69" spans="2:4" ht="25.5" customHeight="1" x14ac:dyDescent="0.25">
      <c r="B69" s="10" t="s">
        <v>1982</v>
      </c>
      <c r="C69" s="8" t="s">
        <v>751</v>
      </c>
      <c r="D69" s="11" t="s">
        <v>1928</v>
      </c>
    </row>
    <row r="70" spans="2:4" ht="25.5" customHeight="1" x14ac:dyDescent="0.25">
      <c r="B70" s="10" t="s">
        <v>2070</v>
      </c>
      <c r="C70" s="8">
        <v>17</v>
      </c>
      <c r="D70" s="11" t="s">
        <v>1983</v>
      </c>
    </row>
    <row r="71" spans="2:4" ht="25.5" customHeight="1" x14ac:dyDescent="0.25">
      <c r="B71" s="10" t="s">
        <v>1984</v>
      </c>
      <c r="C71" s="8">
        <v>18</v>
      </c>
      <c r="D71" s="9" t="s">
        <v>1985</v>
      </c>
    </row>
    <row r="72" spans="2:4" ht="25.5" customHeight="1" x14ac:dyDescent="0.25">
      <c r="B72" s="10" t="s">
        <v>1986</v>
      </c>
      <c r="C72" s="8" t="s">
        <v>519</v>
      </c>
      <c r="D72" s="11" t="s">
        <v>1928</v>
      </c>
    </row>
    <row r="73" spans="2:4" ht="25.5" customHeight="1" x14ac:dyDescent="0.25">
      <c r="B73" s="10" t="s">
        <v>374</v>
      </c>
      <c r="C73" s="8">
        <v>19</v>
      </c>
      <c r="D73" s="11" t="s">
        <v>1928</v>
      </c>
    </row>
    <row r="74" spans="2:4" ht="25.5" customHeight="1" x14ac:dyDescent="0.25">
      <c r="B74" s="10" t="s">
        <v>616</v>
      </c>
      <c r="C74" s="8">
        <v>20</v>
      </c>
      <c r="D74" s="11" t="s">
        <v>1928</v>
      </c>
    </row>
    <row r="75" spans="2:4" ht="25.5" customHeight="1" x14ac:dyDescent="0.25">
      <c r="B75" s="10" t="s">
        <v>278</v>
      </c>
      <c r="C75" s="8">
        <v>21</v>
      </c>
      <c r="D75" s="11" t="s">
        <v>1928</v>
      </c>
    </row>
    <row r="76" spans="2:4" ht="25.5" customHeight="1" x14ac:dyDescent="0.25">
      <c r="B76" s="10" t="s">
        <v>1987</v>
      </c>
      <c r="C76" s="8">
        <v>22</v>
      </c>
      <c r="D76" s="11" t="s">
        <v>1928</v>
      </c>
    </row>
    <row r="77" spans="2:4" ht="25.5" customHeight="1" x14ac:dyDescent="0.25">
      <c r="B77" s="10" t="s">
        <v>485</v>
      </c>
      <c r="C77" s="8">
        <v>23</v>
      </c>
      <c r="D77" s="11" t="s">
        <v>1928</v>
      </c>
    </row>
    <row r="78" spans="2:4" ht="25.5" customHeight="1" x14ac:dyDescent="0.25">
      <c r="B78" s="10" t="s">
        <v>597</v>
      </c>
      <c r="C78" s="8">
        <v>24</v>
      </c>
      <c r="D78" s="11" t="s">
        <v>1928</v>
      </c>
    </row>
    <row r="79" spans="2:4" ht="25.5" customHeight="1" x14ac:dyDescent="0.25">
      <c r="B79" s="10" t="s">
        <v>1988</v>
      </c>
      <c r="C79" s="8">
        <v>25</v>
      </c>
      <c r="D79" s="11" t="s">
        <v>1928</v>
      </c>
    </row>
    <row r="80" spans="2:4" ht="25.5" customHeight="1" x14ac:dyDescent="0.25">
      <c r="B80" s="10" t="s">
        <v>399</v>
      </c>
      <c r="C80" s="8">
        <v>26</v>
      </c>
      <c r="D80" s="11" t="s">
        <v>1928</v>
      </c>
    </row>
    <row r="81" spans="2:4" ht="25.5" customHeight="1" x14ac:dyDescent="0.25">
      <c r="B81" s="10" t="s">
        <v>591</v>
      </c>
      <c r="C81" s="8">
        <v>27</v>
      </c>
      <c r="D81" s="11" t="s">
        <v>1928</v>
      </c>
    </row>
    <row r="82" spans="2:4" ht="25.5" customHeight="1" x14ac:dyDescent="0.25">
      <c r="B82" s="10" t="s">
        <v>604</v>
      </c>
      <c r="C82" s="8">
        <v>28</v>
      </c>
      <c r="D82" s="11" t="s">
        <v>1928</v>
      </c>
    </row>
    <row r="83" spans="2:4" ht="25.5" customHeight="1" x14ac:dyDescent="0.25">
      <c r="B83" s="10" t="s">
        <v>1375</v>
      </c>
      <c r="C83" s="8">
        <v>29</v>
      </c>
      <c r="D83" s="11" t="s">
        <v>1928</v>
      </c>
    </row>
    <row r="84" spans="2:4" ht="25.5" customHeight="1" x14ac:dyDescent="0.25">
      <c r="B84" s="10" t="s">
        <v>1989</v>
      </c>
      <c r="C84" s="8">
        <v>30</v>
      </c>
      <c r="D84" s="11" t="s">
        <v>1928</v>
      </c>
    </row>
    <row r="85" spans="2:4" ht="25.5" customHeight="1" x14ac:dyDescent="0.25">
      <c r="B85" s="10" t="s">
        <v>1990</v>
      </c>
      <c r="C85" s="8">
        <v>31</v>
      </c>
      <c r="D85" s="11" t="s">
        <v>1928</v>
      </c>
    </row>
    <row r="86" spans="2:4" ht="25.5" customHeight="1" x14ac:dyDescent="0.25">
      <c r="B86" s="10" t="s">
        <v>1991</v>
      </c>
      <c r="C86" s="8">
        <v>32</v>
      </c>
      <c r="D86" s="9" t="s">
        <v>1992</v>
      </c>
    </row>
    <row r="87" spans="2:4" ht="25.5" customHeight="1" x14ac:dyDescent="0.25">
      <c r="B87" s="10" t="s">
        <v>1993</v>
      </c>
      <c r="C87" s="8">
        <v>33</v>
      </c>
      <c r="D87" s="9" t="s">
        <v>1994</v>
      </c>
    </row>
    <row r="88" spans="2:4" ht="25.5" customHeight="1" x14ac:dyDescent="0.25">
      <c r="B88" s="10" t="s">
        <v>1995</v>
      </c>
      <c r="C88" s="8">
        <v>34</v>
      </c>
      <c r="D88" s="9" t="s">
        <v>1996</v>
      </c>
    </row>
    <row r="89" spans="2:4" ht="25.5" customHeight="1" x14ac:dyDescent="0.25">
      <c r="B89" s="10" t="s">
        <v>2071</v>
      </c>
      <c r="C89" s="8">
        <v>35</v>
      </c>
      <c r="D89" s="11" t="s">
        <v>1997</v>
      </c>
    </row>
    <row r="90" spans="2:4" ht="25.5" customHeight="1" x14ac:dyDescent="0.25">
      <c r="B90" s="10" t="s">
        <v>1998</v>
      </c>
      <c r="C90" s="8">
        <v>36</v>
      </c>
      <c r="D90" s="9" t="s">
        <v>1999</v>
      </c>
    </row>
    <row r="91" spans="2:4" ht="40.5" customHeight="1" x14ac:dyDescent="0.25">
      <c r="B91" s="10" t="s">
        <v>2072</v>
      </c>
      <c r="C91" s="15">
        <v>37</v>
      </c>
      <c r="D91" s="11" t="s">
        <v>2000</v>
      </c>
    </row>
    <row r="92" spans="2:4" ht="40.5" customHeight="1" x14ac:dyDescent="0.25">
      <c r="B92" s="931" t="s">
        <v>2001</v>
      </c>
      <c r="C92" s="932">
        <v>38</v>
      </c>
      <c r="D92" s="849" t="s">
        <v>2002</v>
      </c>
    </row>
    <row r="93" spans="2:4" ht="40.5" customHeight="1" x14ac:dyDescent="0.25">
      <c r="B93" s="955" t="s">
        <v>2073</v>
      </c>
      <c r="C93" s="15">
        <v>39</v>
      </c>
      <c r="D93" s="9" t="s">
        <v>2061</v>
      </c>
    </row>
    <row r="94" spans="2:4" ht="40.5" customHeight="1" x14ac:dyDescent="0.25">
      <c r="B94" s="955" t="s">
        <v>2074</v>
      </c>
      <c r="C94" s="15">
        <v>40</v>
      </c>
      <c r="D94" s="956" t="s">
        <v>2075</v>
      </c>
    </row>
    <row r="95" spans="2:4" ht="40.5" customHeight="1" x14ac:dyDescent="0.2">
      <c r="D95" s="933" t="s">
        <v>2003</v>
      </c>
    </row>
    <row r="96" spans="2:4" ht="40.5" customHeight="1" x14ac:dyDescent="0.2"/>
    <row r="97" ht="40.5" customHeight="1" x14ac:dyDescent="0.2"/>
    <row r="98" ht="40.5" customHeight="1" x14ac:dyDescent="0.2"/>
    <row r="99" ht="40.5" customHeight="1" x14ac:dyDescent="0.2"/>
    <row r="100" ht="40.5" customHeight="1" x14ac:dyDescent="0.2"/>
    <row r="101" ht="40.5" customHeight="1" x14ac:dyDescent="0.2"/>
    <row r="102" ht="40.5" customHeight="1" x14ac:dyDescent="0.2"/>
    <row r="103" ht="40.5" customHeight="1" x14ac:dyDescent="0.2"/>
    <row r="104" ht="40.5" customHeight="1" x14ac:dyDescent="0.2"/>
    <row r="105" ht="40.5" customHeight="1" x14ac:dyDescent="0.2"/>
    <row r="106" ht="40.5" customHeight="1" x14ac:dyDescent="0.2"/>
    <row r="107" ht="40.5" customHeight="1" x14ac:dyDescent="0.2"/>
    <row r="108" ht="40.5" customHeight="1" x14ac:dyDescent="0.2"/>
    <row r="109" ht="40.5" customHeight="1" x14ac:dyDescent="0.2"/>
    <row r="110" ht="40.5" customHeight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4CF97-AA3D-4479-8C3D-353365467877}">
  <dimension ref="B2:L20"/>
  <sheetViews>
    <sheetView workbookViewId="0">
      <selection activeCell="M348" sqref="M348"/>
    </sheetView>
  </sheetViews>
  <sheetFormatPr defaultRowHeight="12.75" x14ac:dyDescent="0.2"/>
  <cols>
    <col min="2" max="2" width="27.42578125" customWidth="1"/>
    <col min="3" max="3" width="21.7109375" customWidth="1"/>
    <col min="4" max="4" width="15.42578125" customWidth="1"/>
    <col min="5" max="5" width="12.85546875" customWidth="1"/>
    <col min="6" max="6" width="11" customWidth="1"/>
    <col min="7" max="7" width="12.5703125" customWidth="1"/>
    <col min="11" max="11" width="27.5703125" customWidth="1"/>
    <col min="12" max="12" width="26.85546875" customWidth="1"/>
  </cols>
  <sheetData>
    <row r="2" spans="2:12" ht="12.75" customHeight="1" x14ac:dyDescent="0.25">
      <c r="B2" s="1057" t="s">
        <v>1897</v>
      </c>
      <c r="C2" s="1057" t="s">
        <v>1898</v>
      </c>
      <c r="D2" s="26" t="s">
        <v>1899</v>
      </c>
      <c r="E2" s="27" t="s">
        <v>641</v>
      </c>
      <c r="F2" s="1063" t="s">
        <v>1900</v>
      </c>
      <c r="G2" s="1060"/>
    </row>
    <row r="3" spans="2:12" ht="12.75" customHeight="1" x14ac:dyDescent="0.25">
      <c r="B3" s="1061"/>
      <c r="C3" s="1061"/>
      <c r="D3" s="1064" t="s">
        <v>1901</v>
      </c>
      <c r="E3" s="28" t="s">
        <v>1902</v>
      </c>
      <c r="F3" s="29" t="s">
        <v>1903</v>
      </c>
      <c r="G3" s="30" t="s">
        <v>1904</v>
      </c>
      <c r="K3" s="1066" t="s">
        <v>1905</v>
      </c>
      <c r="L3" s="1057" t="s">
        <v>1906</v>
      </c>
    </row>
    <row r="4" spans="2:12" ht="30" x14ac:dyDescent="0.25">
      <c r="B4" s="1062"/>
      <c r="C4" s="1062"/>
      <c r="D4" s="1065"/>
      <c r="E4" s="31" t="s">
        <v>1907</v>
      </c>
      <c r="F4" s="1059">
        <v>2026</v>
      </c>
      <c r="G4" s="1060"/>
      <c r="K4" s="1065"/>
      <c r="L4" s="1058"/>
    </row>
    <row r="5" spans="2:12" ht="18.75" x14ac:dyDescent="0.3">
      <c r="B5" s="32">
        <v>1</v>
      </c>
      <c r="C5" s="33" t="s">
        <v>217</v>
      </c>
      <c r="D5" s="34">
        <v>1123</v>
      </c>
      <c r="E5" s="35">
        <v>54.68</v>
      </c>
      <c r="F5" s="36">
        <v>3.28</v>
      </c>
      <c r="G5" s="37">
        <v>63.9</v>
      </c>
      <c r="K5" s="38">
        <v>1133</v>
      </c>
      <c r="L5" s="39">
        <v>1130</v>
      </c>
    </row>
    <row r="6" spans="2:12" ht="18.75" x14ac:dyDescent="0.3">
      <c r="B6" s="32">
        <v>2</v>
      </c>
      <c r="C6" s="33" t="s">
        <v>545</v>
      </c>
      <c r="D6" s="38">
        <v>5539</v>
      </c>
      <c r="E6" s="35">
        <v>73.319999999999993</v>
      </c>
      <c r="F6" s="36">
        <v>7.02</v>
      </c>
      <c r="G6" s="37">
        <v>136.80000000000001</v>
      </c>
      <c r="K6" s="38">
        <v>5420</v>
      </c>
      <c r="L6" s="39">
        <v>5340</v>
      </c>
    </row>
    <row r="7" spans="2:12" ht="18.75" x14ac:dyDescent="0.3">
      <c r="B7" s="32">
        <v>3</v>
      </c>
      <c r="C7" s="33" t="s">
        <v>187</v>
      </c>
      <c r="D7" s="38">
        <v>6940</v>
      </c>
      <c r="E7" s="35">
        <v>118.82</v>
      </c>
      <c r="F7" s="36">
        <v>10.050000000000001</v>
      </c>
      <c r="G7" s="37">
        <v>195.9</v>
      </c>
      <c r="K7" s="38">
        <v>6841</v>
      </c>
      <c r="L7" s="39">
        <v>6760</v>
      </c>
    </row>
    <row r="8" spans="2:12" ht="18.75" x14ac:dyDescent="0.3">
      <c r="B8" s="32">
        <v>4</v>
      </c>
      <c r="C8" s="33" t="s">
        <v>246</v>
      </c>
      <c r="D8" s="38">
        <v>1361</v>
      </c>
      <c r="E8" s="35">
        <v>79.489999999999995</v>
      </c>
      <c r="F8" s="36">
        <v>4.58</v>
      </c>
      <c r="G8" s="37">
        <v>89.4</v>
      </c>
      <c r="K8" s="34">
        <v>1358</v>
      </c>
      <c r="L8" s="39">
        <v>1364</v>
      </c>
    </row>
    <row r="9" spans="2:12" ht="18.75" x14ac:dyDescent="0.3">
      <c r="B9" s="32">
        <v>5</v>
      </c>
      <c r="C9" s="33" t="s">
        <v>67</v>
      </c>
      <c r="D9" s="38">
        <v>15498</v>
      </c>
      <c r="E9" s="35">
        <v>63.43</v>
      </c>
      <c r="F9" s="36">
        <v>13.04</v>
      </c>
      <c r="G9" s="37">
        <v>254.3</v>
      </c>
      <c r="K9" s="34">
        <v>15369</v>
      </c>
      <c r="L9" s="39">
        <v>15613</v>
      </c>
    </row>
    <row r="10" spans="2:12" ht="18.75" x14ac:dyDescent="0.3">
      <c r="B10" s="32">
        <v>6</v>
      </c>
      <c r="C10" s="33" t="s">
        <v>361</v>
      </c>
      <c r="D10" s="34">
        <v>565</v>
      </c>
      <c r="E10" s="35">
        <v>41.82</v>
      </c>
      <c r="F10" s="36">
        <v>2.31</v>
      </c>
      <c r="G10" s="37">
        <v>45.1</v>
      </c>
      <c r="K10" s="34">
        <v>579</v>
      </c>
      <c r="L10" s="39">
        <v>580</v>
      </c>
    </row>
    <row r="11" spans="2:12" ht="18.75" x14ac:dyDescent="0.3">
      <c r="B11" s="32">
        <v>7</v>
      </c>
      <c r="C11" s="33" t="s">
        <v>223</v>
      </c>
      <c r="D11" s="38">
        <v>6598</v>
      </c>
      <c r="E11" s="35">
        <v>120.74</v>
      </c>
      <c r="F11" s="36">
        <v>9.91</v>
      </c>
      <c r="G11" s="37">
        <v>193.3</v>
      </c>
      <c r="K11" s="34">
        <v>6512</v>
      </c>
      <c r="L11" s="39">
        <v>6520</v>
      </c>
    </row>
    <row r="12" spans="2:12" ht="18.75" x14ac:dyDescent="0.3">
      <c r="B12" s="32">
        <v>8</v>
      </c>
      <c r="C12" s="33" t="s">
        <v>190</v>
      </c>
      <c r="D12" s="38">
        <v>11060</v>
      </c>
      <c r="E12" s="35">
        <v>143.26</v>
      </c>
      <c r="F12" s="36">
        <v>13.87</v>
      </c>
      <c r="G12" s="37">
        <v>270.39999999999998</v>
      </c>
      <c r="K12" s="34">
        <v>10830</v>
      </c>
      <c r="L12" s="39">
        <v>10866</v>
      </c>
    </row>
    <row r="13" spans="2:12" ht="18.75" x14ac:dyDescent="0.3">
      <c r="B13" s="32">
        <v>9</v>
      </c>
      <c r="C13" s="33" t="s">
        <v>183</v>
      </c>
      <c r="D13" s="38">
        <v>21086</v>
      </c>
      <c r="E13" s="35">
        <v>94.27</v>
      </c>
      <c r="F13" s="36">
        <v>18.11</v>
      </c>
      <c r="G13" s="37">
        <v>353.2</v>
      </c>
      <c r="K13" s="34">
        <v>20131</v>
      </c>
      <c r="L13" s="39">
        <v>20200</v>
      </c>
    </row>
    <row r="14" spans="2:12" ht="18.75" x14ac:dyDescent="0.3">
      <c r="B14" s="32">
        <v>10</v>
      </c>
      <c r="C14" s="33" t="s">
        <v>198</v>
      </c>
      <c r="D14" s="34">
        <v>2583</v>
      </c>
      <c r="E14" s="35">
        <v>127.62</v>
      </c>
      <c r="F14" s="36">
        <v>7.62</v>
      </c>
      <c r="G14" s="37">
        <v>148.6</v>
      </c>
      <c r="K14" s="34">
        <v>2590</v>
      </c>
      <c r="L14" s="39">
        <v>2596</v>
      </c>
    </row>
    <row r="15" spans="2:12" ht="18.75" x14ac:dyDescent="0.3">
      <c r="B15" s="32">
        <v>11</v>
      </c>
      <c r="C15" s="33" t="s">
        <v>222</v>
      </c>
      <c r="D15" s="34">
        <v>4457</v>
      </c>
      <c r="E15" s="35">
        <v>157.01</v>
      </c>
      <c r="F15" s="36">
        <v>10.210000000000001</v>
      </c>
      <c r="G15" s="37">
        <v>199.1</v>
      </c>
      <c r="K15" s="34">
        <v>4481</v>
      </c>
      <c r="L15" s="39">
        <v>4501</v>
      </c>
    </row>
    <row r="16" spans="2:12" ht="18.75" x14ac:dyDescent="0.3">
      <c r="B16" s="40" t="s">
        <v>1908</v>
      </c>
      <c r="C16" s="36" t="s">
        <v>641</v>
      </c>
      <c r="D16" s="41">
        <v>76810</v>
      </c>
      <c r="E16" s="41">
        <v>1074.45</v>
      </c>
      <c r="F16" s="37">
        <v>100</v>
      </c>
      <c r="G16" s="42">
        <v>1950</v>
      </c>
      <c r="K16" s="41">
        <v>75244</v>
      </c>
      <c r="L16" s="43">
        <v>75470</v>
      </c>
    </row>
    <row r="20" spans="7:7" x14ac:dyDescent="0.2">
      <c r="G20" t="s">
        <v>1909</v>
      </c>
    </row>
  </sheetData>
  <mergeCells count="7">
    <mergeCell ref="L3:L4"/>
    <mergeCell ref="F4:G4"/>
    <mergeCell ref="B2:B4"/>
    <mergeCell ref="C2:C4"/>
    <mergeCell ref="F2:G2"/>
    <mergeCell ref="D3:D4"/>
    <mergeCell ref="K3:K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19a47f-a1ee-4a22-aed0-d526b74a3a21" xsi:nil="true"/>
    <lcf76f155ced4ddcb4097134ff3c332f xmlns="c1735d09-ccc3-416e-be48-3def7266d96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C58D5FAAB477BF468E1B678AF7DA70DA" ma:contentTypeVersion="14" ma:contentTypeDescription="Kurkite naują dokumentą." ma:contentTypeScope="" ma:versionID="1a386257f634c20a4989fa686039dd4b">
  <xsd:schema xmlns:xsd="http://www.w3.org/2001/XMLSchema" xmlns:xs="http://www.w3.org/2001/XMLSchema" xmlns:p="http://schemas.microsoft.com/office/2006/metadata/properties" xmlns:ns2="c1735d09-ccc3-416e-be48-3def7266d969" xmlns:ns3="3119a47f-a1ee-4a22-aed0-d526b74a3a21" targetNamespace="http://schemas.microsoft.com/office/2006/metadata/properties" ma:root="true" ma:fieldsID="8fe9ba78bb0fe40cebaec2f9e5bc9dea" ns2:_="" ns3:_="">
    <xsd:import namespace="c1735d09-ccc3-416e-be48-3def7266d969"/>
    <xsd:import namespace="3119a47f-a1ee-4a22-aed0-d526b74a3a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735d09-ccc3-416e-be48-3def7266d9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Vaizdų žymės" ma:readOnly="false" ma:fieldId="{5cf76f15-5ced-4ddc-b409-7134ff3c332f}" ma:taxonomyMulti="true" ma:sspId="38eb848d-185e-46c3-aee5-c3b30c0804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19a47f-a1ee-4a22-aed0-d526b74a3a2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9cb7a69-fa63-470d-8f45-0783ac6fe180}" ma:internalName="TaxCatchAll" ma:showField="CatchAllData" ma:web="3119a47f-a1ee-4a22-aed0-d526b74a3a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ECFB30-8A83-4524-94C7-07DD5539F1AD}">
  <ds:schemaRefs>
    <ds:schemaRef ds:uri="http://schemas.microsoft.com/office/2006/metadata/properties"/>
    <ds:schemaRef ds:uri="http://schemas.microsoft.com/office/infopath/2007/PartnerControls"/>
    <ds:schemaRef ds:uri="3119a47f-a1ee-4a22-aed0-d526b74a3a21"/>
    <ds:schemaRef ds:uri="c1735d09-ccc3-416e-be48-3def7266d969"/>
  </ds:schemaRefs>
</ds:datastoreItem>
</file>

<file path=customXml/itemProps2.xml><?xml version="1.0" encoding="utf-8"?>
<ds:datastoreItem xmlns:ds="http://schemas.openxmlformats.org/officeDocument/2006/customXml" ds:itemID="{DCE0EC5D-CB5B-4151-A358-15552087EB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C0DAAD-98D9-4F44-8C03-D8E789826F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735d09-ccc3-416e-be48-3def7266d969"/>
    <ds:schemaRef ds:uri="3119a47f-a1ee-4a22-aed0-d526b74a3a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MVP</vt:lpstr>
      <vt:lpstr>Vykd </vt:lpstr>
      <vt:lpstr>Skaičiuoklė</vt:lpstr>
      <vt:lpstr>MVP!Print_Area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Vaida Čedavičienė</dc:creator>
  <cp:keywords/>
  <dc:description/>
  <cp:lastModifiedBy>Vaida Čedavičienė</cp:lastModifiedBy>
  <cp:revision/>
  <dcterms:created xsi:type="dcterms:W3CDTF">2025-10-15T08:24:45Z</dcterms:created>
  <dcterms:modified xsi:type="dcterms:W3CDTF">2026-08-28T12:32:00Z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0x010100C58D5FAAB477BF468E1B678AF7DA70DA</vt:lpwstr>
  </property>
  <property fmtid="{D5CDD505-2E9C-101B-9397-08002B2CF9AE}" pid="3" name="MediaServiceImageTags">
    <vt:lpwstr/>
  </property>
</Properties>
</file>